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4000" windowHeight="9735"/>
  </bookViews>
  <sheets>
    <sheet name="Welcome" sheetId="4" r:id="rId1"/>
    <sheet name="Analysis" sheetId="2" r:id="rId2"/>
  </sheets>
  <externalReferences>
    <externalReference r:id="rId3"/>
  </externalReferences>
  <definedNames>
    <definedName name="Cycle_Factor" localSheetId="0">[1]Analysis!#REF!</definedName>
  </definedNames>
  <calcPr calcId="145621"/>
</workbook>
</file>

<file path=xl/calcChain.xml><?xml version="1.0" encoding="utf-8"?>
<calcChain xmlns="http://schemas.openxmlformats.org/spreadsheetml/2006/main">
  <c r="U70" i="2" l="1"/>
  <c r="T70" i="2"/>
  <c r="R152" i="2" l="1"/>
  <c r="R151" i="2"/>
  <c r="R150" i="2"/>
  <c r="L43" i="2" l="1"/>
  <c r="R115" i="2"/>
  <c r="R134" i="2" s="1"/>
  <c r="R123" i="2" l="1"/>
  <c r="R131" i="2"/>
  <c r="R120" i="2"/>
  <c r="R128" i="2"/>
  <c r="R132" i="2"/>
  <c r="R117" i="2"/>
  <c r="R125" i="2"/>
  <c r="R133" i="2"/>
  <c r="R119" i="2"/>
  <c r="R127" i="2"/>
  <c r="R135" i="2"/>
  <c r="R116" i="2"/>
  <c r="R124" i="2"/>
  <c r="R136" i="2"/>
  <c r="R121" i="2"/>
  <c r="R129" i="2"/>
  <c r="R118" i="2"/>
  <c r="R122" i="2"/>
  <c r="R126" i="2"/>
  <c r="R130" i="2"/>
  <c r="E51" i="2"/>
  <c r="U115" i="2"/>
  <c r="E50" i="2"/>
  <c r="V115" i="2" l="1"/>
  <c r="G37" i="2"/>
  <c r="T148" i="2" s="1"/>
  <c r="Y95" i="2"/>
  <c r="R148" i="2" l="1"/>
  <c r="W158" i="2"/>
  <c r="W154" i="2"/>
  <c r="W157" i="2"/>
  <c r="W153" i="2"/>
  <c r="W156" i="2"/>
  <c r="W152" i="2"/>
  <c r="W155" i="2"/>
  <c r="V147" i="2"/>
  <c r="W159" i="2"/>
  <c r="W151" i="2"/>
  <c r="T146" i="2"/>
  <c r="R146" i="2"/>
  <c r="T147" i="2"/>
  <c r="R147" i="2"/>
  <c r="V146" i="2"/>
  <c r="V148" i="2"/>
  <c r="W148" i="2" s="1"/>
  <c r="G61" i="2"/>
  <c r="G62" i="2"/>
  <c r="G63" i="2"/>
  <c r="G65" i="2"/>
  <c r="G66" i="2"/>
  <c r="G67" i="2"/>
  <c r="G68" i="2"/>
  <c r="G69" i="2"/>
  <c r="G70" i="2"/>
  <c r="G71" i="2"/>
  <c r="G73" i="2"/>
  <c r="G74" i="2"/>
  <c r="G75" i="2"/>
  <c r="G76" i="2"/>
  <c r="G77" i="2"/>
  <c r="G78" i="2"/>
  <c r="G79" i="2"/>
  <c r="G81" i="2"/>
  <c r="G82" i="2"/>
  <c r="G83" i="2"/>
  <c r="G84" i="2"/>
  <c r="G85" i="2"/>
  <c r="G86" i="2"/>
  <c r="G87" i="2"/>
  <c r="G89" i="2"/>
  <c r="G90" i="2"/>
  <c r="G91" i="2"/>
  <c r="G92" i="2"/>
  <c r="G93" i="2"/>
  <c r="G94" i="2"/>
  <c r="G95" i="2"/>
  <c r="K88" i="2"/>
  <c r="K80" i="2"/>
  <c r="K72" i="2"/>
  <c r="K64" i="2"/>
  <c r="J88" i="2"/>
  <c r="J80" i="2"/>
  <c r="J72" i="2"/>
  <c r="J94" i="2"/>
  <c r="J86" i="2"/>
  <c r="J78" i="2"/>
  <c r="J70" i="2"/>
  <c r="J64" i="2"/>
  <c r="I88" i="2"/>
  <c r="G88" i="2" s="1"/>
  <c r="I80" i="2"/>
  <c r="G80" i="2" s="1"/>
  <c r="I72" i="2"/>
  <c r="G72" i="2" s="1"/>
  <c r="I64" i="2"/>
  <c r="G64" i="2" s="1"/>
  <c r="G60" i="2"/>
  <c r="T156" i="2"/>
  <c r="T155" i="2"/>
  <c r="S134" i="2" l="1"/>
  <c r="S126" i="2"/>
  <c r="T126" i="2" s="1"/>
  <c r="S127" i="2"/>
  <c r="T127" i="2" s="1"/>
  <c r="S124" i="2"/>
  <c r="S121" i="2"/>
  <c r="T121" i="2" s="1"/>
  <c r="S133" i="2"/>
  <c r="S120" i="2"/>
  <c r="T120" i="2" s="1"/>
  <c r="S136" i="2"/>
  <c r="T136" i="2" s="1"/>
  <c r="S118" i="2"/>
  <c r="T118" i="2" s="1"/>
  <c r="S123" i="2"/>
  <c r="T123" i="2" s="1"/>
  <c r="S116" i="2"/>
  <c r="T116" i="2" s="1"/>
  <c r="S135" i="2"/>
  <c r="T135" i="2" s="1"/>
  <c r="S117" i="2"/>
  <c r="T117" i="2" s="1"/>
  <c r="S119" i="2"/>
  <c r="T119" i="2" s="1"/>
  <c r="S130" i="2"/>
  <c r="T130" i="2" s="1"/>
  <c r="S128" i="2"/>
  <c r="T128" i="2" s="1"/>
  <c r="S125" i="2"/>
  <c r="T125" i="2" s="1"/>
  <c r="S122" i="2"/>
  <c r="T122" i="2" s="1"/>
  <c r="S131" i="2"/>
  <c r="T131" i="2" s="1"/>
  <c r="S132" i="2"/>
  <c r="T132" i="2" s="1"/>
  <c r="S129" i="2"/>
  <c r="T129" i="2" s="1"/>
  <c r="G161" i="2"/>
  <c r="K37" i="2" s="1"/>
  <c r="G160" i="2"/>
  <c r="K32" i="2" s="1"/>
  <c r="G159" i="2"/>
  <c r="K27" i="2" s="1"/>
  <c r="G158" i="2"/>
  <c r="K22" i="2" s="1"/>
  <c r="E158" i="2"/>
  <c r="D161" i="2"/>
  <c r="K36" i="2" s="1"/>
  <c r="D160" i="2"/>
  <c r="K31" i="2" s="1"/>
  <c r="D159" i="2"/>
  <c r="K26" i="2" s="1"/>
  <c r="D158" i="2"/>
  <c r="K21" i="2" s="1"/>
  <c r="W147" i="2"/>
  <c r="W146" i="2"/>
  <c r="K38" i="2"/>
  <c r="K33" i="2"/>
  <c r="K28" i="2"/>
  <c r="K23" i="2"/>
  <c r="F161" i="2"/>
  <c r="F160" i="2"/>
  <c r="F159" i="2"/>
  <c r="F158" i="2"/>
  <c r="E159" i="2"/>
  <c r="E161" i="2"/>
  <c r="E160" i="2"/>
  <c r="T124" i="2"/>
  <c r="T134" i="2"/>
  <c r="T133" i="2"/>
  <c r="F153" i="2" l="1"/>
  <c r="F152" i="2"/>
  <c r="F151" i="2"/>
  <c r="F154" i="2"/>
  <c r="G103" i="2"/>
  <c r="K42" i="2" s="1"/>
  <c r="K4" i="2"/>
  <c r="C21" i="2"/>
  <c r="K39" i="2"/>
  <c r="F115" i="2"/>
  <c r="G115" i="2"/>
  <c r="I115" i="2"/>
  <c r="J115" i="2"/>
  <c r="K115" i="2"/>
  <c r="L115" i="2"/>
  <c r="F116" i="2"/>
  <c r="G116" i="2"/>
  <c r="I116" i="2"/>
  <c r="J116" i="2"/>
  <c r="K116" i="2"/>
  <c r="L116" i="2"/>
  <c r="F117" i="2"/>
  <c r="G117" i="2"/>
  <c r="I117" i="2"/>
  <c r="J117" i="2"/>
  <c r="K117" i="2"/>
  <c r="L117" i="2"/>
  <c r="L149" i="2"/>
  <c r="L150" i="2"/>
  <c r="L153" i="2"/>
  <c r="L154" i="2" s="1"/>
  <c r="K14" i="2" l="1"/>
  <c r="K29" i="2"/>
  <c r="K12" i="2" s="1"/>
  <c r="K24" i="2"/>
  <c r="K11" i="2" s="1"/>
  <c r="L152" i="2"/>
  <c r="J119" i="2" s="1"/>
  <c r="K34" i="2"/>
  <c r="K13" i="2" s="1"/>
  <c r="J161" i="2" l="1"/>
  <c r="J121" i="2"/>
  <c r="J118" i="2" s="1"/>
  <c r="J140" i="2"/>
  <c r="J122" i="2"/>
  <c r="J137" i="2"/>
  <c r="W115" i="2"/>
  <c r="U122" i="2"/>
  <c r="L44" i="2" s="1"/>
  <c r="U136" i="2"/>
  <c r="U132" i="2"/>
  <c r="U130" i="2"/>
  <c r="U135" i="2"/>
  <c r="U124" i="2"/>
  <c r="U117" i="2"/>
  <c r="U120" i="2"/>
  <c r="U131" i="2"/>
  <c r="F119" i="2"/>
  <c r="F128" i="2" s="1"/>
  <c r="U121" i="2"/>
  <c r="U126" i="2"/>
  <c r="U133" i="2"/>
  <c r="U129" i="2"/>
  <c r="U125" i="2"/>
  <c r="U128" i="2"/>
  <c r="U134" i="2"/>
  <c r="U123" i="2"/>
  <c r="U127" i="2"/>
  <c r="U116" i="2"/>
  <c r="U118" i="2"/>
  <c r="U119" i="2"/>
  <c r="I119" i="2"/>
  <c r="L119" i="2"/>
  <c r="G119" i="2"/>
  <c r="G128" i="2" s="1"/>
  <c r="K119" i="2"/>
  <c r="L47" i="2" l="1"/>
  <c r="L48" i="2" s="1"/>
  <c r="T52" i="2"/>
  <c r="X52" i="2" s="1"/>
  <c r="E153" i="2"/>
  <c r="E152" i="2"/>
  <c r="E151" i="2"/>
  <c r="E154" i="2"/>
  <c r="D153" i="2"/>
  <c r="G153" i="2" s="1"/>
  <c r="D152" i="2"/>
  <c r="G152" i="2" s="1"/>
  <c r="D151" i="2"/>
  <c r="G151" i="2" s="1"/>
  <c r="I158" i="2" s="1"/>
  <c r="D154" i="2"/>
  <c r="G154" i="2" s="1"/>
  <c r="G122" i="2"/>
  <c r="G120" i="2" s="1"/>
  <c r="G129" i="2" s="1"/>
  <c r="G140" i="2"/>
  <c r="G137" i="2"/>
  <c r="F122" i="2"/>
  <c r="F120" i="2" s="1"/>
  <c r="F129" i="2" s="1"/>
  <c r="F140" i="2"/>
  <c r="F137" i="2"/>
  <c r="L122" i="2"/>
  <c r="L120" i="2" s="1"/>
  <c r="L140" i="2"/>
  <c r="L137" i="2"/>
  <c r="J139" i="2"/>
  <c r="J136" i="2"/>
  <c r="T160" i="2"/>
  <c r="L151" i="2" s="1"/>
  <c r="I140" i="2"/>
  <c r="I137" i="2"/>
  <c r="I122" i="2"/>
  <c r="I120" i="2" s="1"/>
  <c r="K122" i="2"/>
  <c r="K120" i="2" s="1"/>
  <c r="K140" i="2"/>
  <c r="K137" i="2"/>
  <c r="J160" i="2"/>
  <c r="J159" i="2"/>
  <c r="J158" i="2"/>
  <c r="F121" i="2"/>
  <c r="F118" i="2" s="1"/>
  <c r="F131" i="2"/>
  <c r="S160" i="2"/>
  <c r="G131" i="2"/>
  <c r="G121" i="2"/>
  <c r="G118" i="2" s="1"/>
  <c r="G127" i="2" s="1"/>
  <c r="L121" i="2"/>
  <c r="L118" i="2" s="1"/>
  <c r="I121" i="2"/>
  <c r="I118" i="2" s="1"/>
  <c r="K121" i="2"/>
  <c r="K118" i="2" s="1"/>
  <c r="U160" i="2"/>
  <c r="J123" i="2"/>
  <c r="J125" i="2" s="1"/>
  <c r="J120" i="2"/>
  <c r="F127" i="2" l="1"/>
  <c r="F139" i="2"/>
  <c r="K158" i="2"/>
  <c r="I161" i="2"/>
  <c r="K161" i="2" s="1"/>
  <c r="L38" i="2"/>
  <c r="L23" i="2"/>
  <c r="I159" i="2"/>
  <c r="K159" i="2" s="1"/>
  <c r="L28" i="2"/>
  <c r="I160" i="2"/>
  <c r="K160" i="2" s="1"/>
  <c r="L33" i="2"/>
  <c r="F51" i="2"/>
  <c r="F136" i="2"/>
  <c r="L139" i="2"/>
  <c r="L136" i="2"/>
  <c r="K139" i="2"/>
  <c r="K136" i="2"/>
  <c r="I139" i="2"/>
  <c r="I136" i="2"/>
  <c r="G139" i="2"/>
  <c r="G136" i="2"/>
  <c r="I141" i="2"/>
  <c r="I138" i="2"/>
  <c r="J141" i="2"/>
  <c r="J138" i="2"/>
  <c r="K141" i="2"/>
  <c r="K138" i="2"/>
  <c r="L141" i="2"/>
  <c r="L138" i="2"/>
  <c r="G141" i="2"/>
  <c r="G138" i="2"/>
  <c r="F138" i="2"/>
  <c r="F141" i="2"/>
  <c r="V116" i="2"/>
  <c r="V127" i="2"/>
  <c r="V125" i="2"/>
  <c r="V121" i="2"/>
  <c r="V117" i="2"/>
  <c r="V131" i="2"/>
  <c r="V126" i="2"/>
  <c r="V132" i="2"/>
  <c r="V136" i="2"/>
  <c r="V128" i="2"/>
  <c r="S161" i="2"/>
  <c r="V118" i="2"/>
  <c r="V119" i="2"/>
  <c r="V130" i="2"/>
  <c r="V135" i="2"/>
  <c r="V122" i="2"/>
  <c r="F124" i="2"/>
  <c r="F126" i="2" s="1"/>
  <c r="V134" i="2"/>
  <c r="V133" i="2"/>
  <c r="V123" i="2"/>
  <c r="V129" i="2"/>
  <c r="V120" i="2"/>
  <c r="V124" i="2"/>
  <c r="F132" i="2"/>
  <c r="K124" i="2"/>
  <c r="K126" i="2" s="1"/>
  <c r="I123" i="2"/>
  <c r="I125" i="2" s="1"/>
  <c r="T159" i="2"/>
  <c r="G123" i="2"/>
  <c r="G125" i="2" s="1"/>
  <c r="G130" i="2"/>
  <c r="I124" i="2"/>
  <c r="I126" i="2" s="1"/>
  <c r="K123" i="2"/>
  <c r="K125" i="2" s="1"/>
  <c r="U159" i="2"/>
  <c r="L124" i="2"/>
  <c r="L126" i="2" s="1"/>
  <c r="L123" i="2"/>
  <c r="L125" i="2" s="1"/>
  <c r="U161" i="2"/>
  <c r="G132" i="2"/>
  <c r="G124" i="2"/>
  <c r="G126" i="2" s="1"/>
  <c r="T161" i="2"/>
  <c r="J124" i="2"/>
  <c r="J126" i="2" s="1"/>
  <c r="F130" i="2"/>
  <c r="S159" i="2"/>
  <c r="F123" i="2"/>
  <c r="F125" i="2" s="1"/>
  <c r="F134" i="2" l="1"/>
  <c r="G135" i="2"/>
  <c r="G134" i="2"/>
  <c r="F135" i="2"/>
  <c r="F133" i="2"/>
  <c r="F145" i="2" s="1"/>
  <c r="S5" i="2" s="1"/>
  <c r="G133" i="2"/>
  <c r="F50" i="2"/>
  <c r="I128" i="2"/>
  <c r="I131" i="2" s="1"/>
  <c r="I129" i="2"/>
  <c r="I132" i="2" s="1"/>
  <c r="I135" i="2" s="1"/>
  <c r="J127" i="2"/>
  <c r="J130" i="2" s="1"/>
  <c r="J128" i="2"/>
  <c r="J131" i="2" s="1"/>
  <c r="J129" i="2"/>
  <c r="J132" i="2" s="1"/>
  <c r="I127" i="2"/>
  <c r="I130" i="2" s="1"/>
  <c r="I133" i="2" s="1"/>
  <c r="F144" i="2"/>
  <c r="F143" i="2"/>
  <c r="G147" i="2"/>
  <c r="S10" i="2" s="1"/>
  <c r="G143" i="2"/>
  <c r="G142" i="2"/>
  <c r="J135" i="2" l="1"/>
  <c r="J144" i="2" s="1"/>
  <c r="J133" i="2"/>
  <c r="J142" i="2" s="1"/>
  <c r="I134" i="2"/>
  <c r="I143" i="2" s="1"/>
  <c r="J134" i="2"/>
  <c r="J143" i="2" s="1"/>
  <c r="J145" i="2"/>
  <c r="T8" i="2" s="1"/>
  <c r="F147" i="2"/>
  <c r="S7" i="2" s="1"/>
  <c r="F146" i="2"/>
  <c r="S6" i="2" s="1"/>
  <c r="G145" i="2"/>
  <c r="S8" i="2" s="1"/>
  <c r="I146" i="2"/>
  <c r="T6" i="2" s="1"/>
  <c r="F142" i="2"/>
  <c r="G144" i="2"/>
  <c r="G146" i="2"/>
  <c r="S9" i="2" s="1"/>
  <c r="I142" i="2"/>
  <c r="I145" i="2"/>
  <c r="T5" i="2" s="1"/>
  <c r="V5" i="2" s="1"/>
  <c r="I144" i="2"/>
  <c r="I147" i="2"/>
  <c r="T7" i="2" s="1"/>
  <c r="J147" i="2" l="1"/>
  <c r="T10" i="2" s="1"/>
  <c r="V10" i="2" s="1"/>
  <c r="J146" i="2"/>
  <c r="T9" i="2" s="1"/>
  <c r="V9" i="2" s="1"/>
  <c r="V8" i="2"/>
  <c r="V7" i="2"/>
  <c r="V6" i="2"/>
  <c r="G51" i="2" l="1"/>
  <c r="K127" i="2" s="1"/>
  <c r="K128" i="2" l="1"/>
  <c r="K131" i="2" s="1"/>
  <c r="K134" i="2" s="1"/>
  <c r="K129" i="2"/>
  <c r="K132" i="2" s="1"/>
  <c r="K135" i="2" s="1"/>
  <c r="L127" i="2"/>
  <c r="L130" i="2" s="1"/>
  <c r="G50" i="2"/>
  <c r="L128" i="2"/>
  <c r="L131" i="2" s="1"/>
  <c r="L129" i="2"/>
  <c r="L132" i="2" s="1"/>
  <c r="K130" i="2"/>
  <c r="K133" i="2" s="1"/>
  <c r="L24" i="2"/>
  <c r="L29" i="2"/>
  <c r="L39" i="2"/>
  <c r="L34" i="2"/>
  <c r="L134" i="2" l="1"/>
  <c r="L143" i="2" s="1"/>
  <c r="L133" i="2"/>
  <c r="L142" i="2" s="1"/>
  <c r="L135" i="2"/>
  <c r="L147" i="2" s="1"/>
  <c r="U10" i="2" s="1"/>
  <c r="X10" i="2" s="1"/>
  <c r="L145" i="2"/>
  <c r="U8" i="2" s="1"/>
  <c r="X8" i="2" s="1"/>
  <c r="K147" i="2"/>
  <c r="U7" i="2" s="1"/>
  <c r="X7" i="2" s="1"/>
  <c r="K144" i="2"/>
  <c r="K146" i="2"/>
  <c r="U6" i="2" s="1"/>
  <c r="X6" i="2" s="1"/>
  <c r="K143" i="2"/>
  <c r="L18" i="2"/>
  <c r="L19" i="2"/>
  <c r="K142" i="2"/>
  <c r="K145" i="2"/>
  <c r="U5" i="2" s="1"/>
  <c r="X5" i="2" s="1"/>
  <c r="L11" i="2"/>
  <c r="L16" i="2"/>
  <c r="L17" i="2"/>
  <c r="L144" i="2" l="1"/>
  <c r="L146" i="2"/>
  <c r="U9" i="2" s="1"/>
  <c r="X9" i="2" s="1"/>
  <c r="L158" i="2"/>
  <c r="W128" i="2"/>
  <c r="X128" i="2" s="1"/>
  <c r="L12" i="2"/>
  <c r="L159" i="2"/>
  <c r="L13" i="2"/>
  <c r="L160" i="2"/>
  <c r="L14" i="2"/>
  <c r="L161" i="2"/>
  <c r="W121" i="2" l="1"/>
  <c r="X121" i="2" s="1"/>
  <c r="Y121" i="2" s="1"/>
  <c r="W136" i="2"/>
  <c r="X136" i="2" s="1"/>
  <c r="Y136" i="2" s="1"/>
  <c r="W120" i="2"/>
  <c r="W123" i="2"/>
  <c r="W129" i="2"/>
  <c r="W132" i="2"/>
  <c r="X132" i="2" s="1"/>
  <c r="Y132" i="2" s="1"/>
  <c r="W124" i="2"/>
  <c r="W131" i="2"/>
  <c r="X131" i="2" s="1"/>
  <c r="Y131" i="2" s="1"/>
  <c r="W117" i="2"/>
  <c r="X117" i="2" s="1"/>
  <c r="Y117" i="2" s="1"/>
  <c r="W133" i="2"/>
  <c r="W125" i="2"/>
  <c r="W134" i="2"/>
  <c r="W130" i="2"/>
  <c r="W126" i="2"/>
  <c r="W122" i="2"/>
  <c r="X122" i="2" s="1"/>
  <c r="Y122" i="2" s="1"/>
  <c r="W118" i="2"/>
  <c r="X118" i="2" s="1"/>
  <c r="Y118" i="2" s="1"/>
  <c r="W135" i="2"/>
  <c r="W127" i="2"/>
  <c r="W119" i="2"/>
  <c r="W116" i="2"/>
  <c r="X116" i="2" s="1"/>
  <c r="Y128" i="2"/>
  <c r="X119" i="2" l="1"/>
  <c r="Y119" i="2" s="1"/>
  <c r="X125" i="2"/>
  <c r="Y125" i="2" s="1"/>
  <c r="X124" i="2"/>
  <c r="Y124" i="2" s="1"/>
  <c r="X127" i="2"/>
  <c r="Y127" i="2" s="1"/>
  <c r="X126" i="2"/>
  <c r="Y126" i="2" s="1"/>
  <c r="X134" i="2"/>
  <c r="Y134" i="2" s="1"/>
  <c r="X133" i="2"/>
  <c r="Y133" i="2" s="1"/>
  <c r="X123" i="2"/>
  <c r="Y123" i="2" s="1"/>
  <c r="X135" i="2"/>
  <c r="Y135" i="2" s="1"/>
  <c r="X130" i="2"/>
  <c r="Y130" i="2" s="1"/>
  <c r="X129" i="2"/>
  <c r="Y129" i="2" s="1"/>
  <c r="X120" i="2"/>
  <c r="Y120" i="2" s="1"/>
  <c r="Y116" i="2"/>
  <c r="S141" i="2" l="1"/>
  <c r="S140" i="2"/>
  <c r="S142" i="2"/>
  <c r="T142" i="2"/>
  <c r="T141" i="2"/>
  <c r="K45" i="2" s="1"/>
  <c r="T140" i="2"/>
  <c r="K49" i="2" l="1"/>
  <c r="K50" i="2"/>
  <c r="K46" i="2"/>
</calcChain>
</file>

<file path=xl/comments1.xml><?xml version="1.0" encoding="utf-8"?>
<comments xmlns="http://schemas.openxmlformats.org/spreadsheetml/2006/main">
  <authors>
    <author>M-Pratt</author>
    <author>Pratt, Mike</author>
  </authors>
  <commentList>
    <comment ref="L3" authorId="0">
      <text>
        <r>
          <rPr>
            <sz val="8"/>
            <color indexed="81"/>
            <rFont val="Tahoma"/>
            <family val="2"/>
          </rPr>
          <t>Use the General Information cells to describe the location of the curve being analyzed.</t>
        </r>
      </text>
    </comment>
    <comment ref="Y3" authorId="0">
      <text>
        <r>
          <rPr>
            <sz val="8"/>
            <color indexed="81"/>
            <rFont val="Tahoma"/>
            <family val="2"/>
          </rPr>
          <t>The calculations in this box provide the margin of safety at each of the three points of interest along the curve (PC, MC, and PT) in each direction of travel (deflection to left or right), for the specified travel path type (Ideal or Correcting).</t>
        </r>
      </text>
    </comment>
    <comment ref="K6" authorId="0">
      <text>
        <r>
          <rPr>
            <sz val="8"/>
            <color indexed="81"/>
            <rFont val="Tahoma"/>
            <family val="2"/>
          </rPr>
          <t>Enter the curve deflection direction that corresponds with the grade values entered in the Input Data box.  "Left" refers to the direction of travel for which vehicles turn toward the driver's left while traversing the curve.  "Right" refers to the direction of travel for which vehicles turn toward the driver's right while traversing the curve.</t>
        </r>
      </text>
    </comment>
    <comment ref="G8" authorId="0">
      <text>
        <r>
          <rPr>
            <sz val="8"/>
            <color indexed="81"/>
            <rFont val="Tahoma"/>
            <family val="2"/>
          </rPr>
          <t>Use the Site Characteristics Input Data cells to describe the geometric, traffic control, and pavement characteristics of the curve being analyzed.</t>
        </r>
      </text>
    </comment>
    <comment ref="L8" authorId="0">
      <text>
        <r>
          <rPr>
            <sz val="8"/>
            <color indexed="81"/>
            <rFont val="Tahoma"/>
            <family val="2"/>
          </rPr>
          <t>The calculations in this box provide the predicted crash counts and changes in counts that would be expected following the proposed changes to superelevation rate and/or skid number.</t>
        </r>
      </text>
    </comment>
    <comment ref="L10" authorId="1">
      <text>
        <r>
          <rPr>
            <sz val="9"/>
            <color indexed="81"/>
            <rFont val="Tahoma"/>
            <family val="2"/>
          </rPr>
          <t>Indicate the desired time period for computing crash count change:
After = immediately after treatment.
End = end of the specified analysis period.
Terminal = end of the year when the effective skid number is reached.</t>
        </r>
      </text>
    </comment>
    <comment ref="F12" authorId="0">
      <text>
        <r>
          <rPr>
            <sz val="8"/>
            <color indexed="81"/>
            <rFont val="Tahoma"/>
            <family val="2"/>
          </rPr>
          <t>Enter 2U for two-lane undivided, 4U for four-lane undivided, or 4D for four-lane divided.</t>
        </r>
      </text>
    </comment>
    <comment ref="Y12" authorId="0">
      <text>
        <r>
          <rPr>
            <sz val="8"/>
            <color indexed="81"/>
            <rFont val="Tahoma"/>
            <family val="2"/>
          </rPr>
          <t>This graph shows the margin of safety for the Correcting travel path type.  The margin of safety is provided at each point of interest along the curve for the "before", "after", and "terminal" periods, which are colored blue, pink, and yellow, respectively.  The hash line directions correspond to the curve deflection direction.</t>
        </r>
      </text>
    </comment>
    <comment ref="F15" authorId="0">
      <text>
        <r>
          <rPr>
            <sz val="8"/>
            <color indexed="81"/>
            <rFont val="Tahoma"/>
            <family val="2"/>
          </rPr>
          <t>Enter a field-measured 85th-percentile tangent speed from a location sufficiently upstream of the curve that the measured speeds were not affected by the geometry of the curve.  Leave this cell blank if no field-measured value is available.</t>
        </r>
      </text>
    </comment>
    <comment ref="E24" authorId="0">
      <text>
        <r>
          <rPr>
            <sz val="8"/>
            <color indexed="81"/>
            <rFont val="Tahoma"/>
            <family val="2"/>
          </rPr>
          <t>Enter the superelevation rate for each direction of travel at the middle of the curve (MC), and optionally at the point of curvature (PC) and point of tangency (PT).  If this quantity is known only for the MC, the superelevation rates at the PC and PT will be estimated based on the default proportions entered in the calibration factor cells on Page 3.
If an increase in superelevation rate is being evaluated, enter the existing rate in the "before" column and the proposed new rate in the "after" column.</t>
        </r>
      </text>
    </comment>
    <comment ref="G31" authorId="0">
      <text>
        <r>
          <rPr>
            <sz val="8"/>
            <color indexed="81"/>
            <rFont val="Tahoma"/>
            <family val="2"/>
          </rPr>
          <t>Use the Pavement Treatment Input Data cells to describe the skid number, treatment type, treatment cost, and economic discount rate.</t>
        </r>
      </text>
    </comment>
    <comment ref="Y31" authorId="0">
      <text>
        <r>
          <rPr>
            <sz val="8"/>
            <color indexed="81"/>
            <rFont val="Tahoma"/>
            <family val="2"/>
          </rPr>
          <t>This graph shows the change in skid number over time.  The skid number for the "after" period is for year 0, or immediately after installation.  The skid number for the "terminal" period is for the year that the minimum value is reached.</t>
        </r>
      </text>
    </comment>
    <comment ref="F32" authorId="0">
      <text>
        <r>
          <rPr>
            <sz val="8"/>
            <color indexed="81"/>
            <rFont val="Tahoma"/>
            <family val="2"/>
          </rPr>
          <t>Enter the skid numbers that describe the pavement surface at the skid test speed (50 mph for TxDOT).  This speed is specified in the calibration factor cells on Page 3.</t>
        </r>
      </text>
    </comment>
    <comment ref="F35" authorId="1">
      <text>
        <r>
          <rPr>
            <sz val="9"/>
            <color indexed="81"/>
            <rFont val="Tahoma"/>
            <family val="2"/>
          </rPr>
          <t>Enter the contribution, by weight, that aggregate type 1 makes toward the total coarse aggregate.  Coarse aggregate is the portion of aggregate that is retained on the #4 sieve.</t>
        </r>
      </text>
    </comment>
    <comment ref="F38" authorId="1">
      <text>
        <r>
          <rPr>
            <sz val="9"/>
            <color indexed="81"/>
            <rFont val="Tahoma"/>
            <family val="2"/>
          </rPr>
          <t>The economic discout rate is used to convert the future value of treatment benefits (i.e., crash reductions in future years) to their present value.</t>
        </r>
      </text>
    </comment>
    <comment ref="G40" authorId="0">
      <text>
        <r>
          <rPr>
            <sz val="8"/>
            <color indexed="81"/>
            <rFont val="Tahoma"/>
            <family val="2"/>
          </rPr>
          <t>Use the Crash Analysis Input Data cells to specify the crash data analysis period and provide reported crash counts (if empirical Bayes adjustment is desired).</t>
        </r>
      </text>
    </comment>
    <comment ref="F41" authorId="0">
      <text>
        <r>
          <rPr>
            <sz val="8"/>
            <color indexed="81"/>
            <rFont val="Tahoma"/>
            <family val="2"/>
          </rPr>
          <t>Enter the number of years for which an estimate of crash count is desired after implementation of the proposed pavement surface treatment.</t>
        </r>
      </text>
    </comment>
    <comment ref="L41" authorId="0">
      <text>
        <r>
          <rPr>
            <sz val="8"/>
            <color indexed="81"/>
            <rFont val="Tahoma"/>
            <family val="2"/>
          </rPr>
          <t>The calculations in this box provide the benefit-cost ratio and net benefit of the analyzed treatment over the specified period.</t>
        </r>
      </text>
    </comment>
    <comment ref="F42" authorId="0">
      <text>
        <r>
          <rPr>
            <sz val="8"/>
            <color indexed="81"/>
            <rFont val="Tahoma"/>
            <family val="2"/>
          </rPr>
          <t>If an empirical Bayes adjustment to the predicted crash counts is desired, enter the number of years for which crash history data are being used.</t>
        </r>
      </text>
    </comment>
    <comment ref="D43" authorId="0">
      <text>
        <r>
          <rPr>
            <sz val="8"/>
            <color indexed="81"/>
            <rFont val="Tahoma"/>
            <family val="2"/>
          </rPr>
          <t>If an empirical Bayes adjustment to the predicted crash counts is desired, enter the number of crashes observed in each of the four specified categories.  Include only fatal and injury crashes (KABC).</t>
        </r>
      </text>
    </comment>
    <comment ref="L44" authorId="1">
      <text>
        <r>
          <rPr>
            <sz val="9"/>
            <color indexed="81"/>
            <rFont val="Tahoma"/>
            <family val="2"/>
          </rPr>
          <t>This calculation provides the skid number at the end of the specified analysis period.</t>
        </r>
      </text>
    </comment>
    <comment ref="L47" authorId="1">
      <text>
        <r>
          <rPr>
            <sz val="9"/>
            <color indexed="81"/>
            <rFont val="Tahoma"/>
            <family val="2"/>
          </rPr>
          <t>This calculation provides the number of years that the skid number for the new pavement treatment will exceed the skid number in the "before" period.</t>
        </r>
      </text>
    </comment>
    <comment ref="G48" authorId="0">
      <text>
        <r>
          <rPr>
            <sz val="8"/>
            <color indexed="81"/>
            <rFont val="Tahoma"/>
            <family val="2"/>
          </rPr>
          <t>The calculations in this box provide the estimated skid number at the curve advisory speed and the skid test speed.  These numbers are based on a smooth-tire test.</t>
        </r>
      </text>
    </comment>
    <comment ref="T52" authorId="1">
      <text>
        <r>
          <rPr>
            <sz val="9"/>
            <color indexed="81"/>
            <rFont val="Tahoma"/>
            <family val="2"/>
          </rPr>
          <t xml:space="preserve">This calculation provides the number of years for "effective" terminal skid number to be reached.  Effective terminal skid number is defined as the skid number at the end of the first year when the skid number drops to within 1 </t>
        </r>
        <r>
          <rPr>
            <i/>
            <sz val="9"/>
            <color indexed="81"/>
            <rFont val="Tahoma"/>
            <family val="2"/>
          </rPr>
          <t>SK</t>
        </r>
        <r>
          <rPr>
            <sz val="9"/>
            <color indexed="81"/>
            <rFont val="Tahoma"/>
            <family val="2"/>
          </rPr>
          <t xml:space="preserve"> of the terminal value.</t>
        </r>
      </text>
    </comment>
    <comment ref="X52" authorId="1">
      <text>
        <r>
          <rPr>
            <sz val="9"/>
            <color indexed="81"/>
            <rFont val="Tahoma"/>
            <family val="2"/>
          </rPr>
          <t xml:space="preserve">Effective terminal skid number is defined as the skid number at the end of the first year when the skid number drops to within 1 </t>
        </r>
        <r>
          <rPr>
            <i/>
            <sz val="9"/>
            <color indexed="81"/>
            <rFont val="Tahoma"/>
            <family val="2"/>
          </rPr>
          <t>SK</t>
        </r>
        <r>
          <rPr>
            <sz val="9"/>
            <color indexed="81"/>
            <rFont val="Tahoma"/>
            <family val="2"/>
          </rPr>
          <t xml:space="preserve"> of the terminal value.</t>
        </r>
      </text>
    </comment>
    <comment ref="L57" authorId="0">
      <text>
        <r>
          <rPr>
            <sz val="8"/>
            <color indexed="81"/>
            <rFont val="Tahoma"/>
            <family val="2"/>
          </rPr>
          <t>Use the yellow cells to adjust calibration factors and model coefficients.  These adjustments should be made only if field data or statistical analysis results are available to justify the adjustments.</t>
        </r>
      </text>
    </comment>
    <comment ref="Y57" authorId="0">
      <text>
        <r>
          <rPr>
            <sz val="8"/>
            <color indexed="81"/>
            <rFont val="Tahoma"/>
            <family val="2"/>
          </rPr>
          <t>Use the yellow cells to adjust calibration factors and model coefficients.  These adjustments should be made only if field data or statistical analysis results are available to justify the adjustments.</t>
        </r>
      </text>
    </comment>
    <comment ref="F59" authorId="1">
      <text>
        <r>
          <rPr>
            <sz val="9"/>
            <color indexed="81"/>
            <rFont val="Tahoma"/>
            <family val="2"/>
          </rPr>
          <t>These numbers come from Tables 29, 30, and 31 of TxDOT Research Report 0-6932-R1.</t>
        </r>
      </text>
    </comment>
    <comment ref="V59" authorId="1">
      <text>
        <r>
          <rPr>
            <sz val="9"/>
            <color indexed="81"/>
            <rFont val="Tahoma"/>
            <family val="2"/>
          </rPr>
          <t>These numbers come from Table 20 of TxDOT Research Report 0-6932-R1.</t>
        </r>
      </text>
    </comment>
    <comment ref="U73" authorId="1">
      <text>
        <r>
          <rPr>
            <sz val="9"/>
            <color indexed="81"/>
            <rFont val="Tahoma"/>
            <family val="2"/>
          </rPr>
          <t>These numbers come from Table 19 of TxDOT Research Report 0-6932-R1.</t>
        </r>
      </text>
    </comment>
    <comment ref="Y73" authorId="1">
      <text>
        <r>
          <rPr>
            <sz val="9"/>
            <color indexed="81"/>
            <rFont val="Tahoma"/>
            <family val="2"/>
          </rPr>
          <t>These numbers come from Tables 28, 29, and 30 of TxDOT Research Report 0-6714-1.</t>
        </r>
      </text>
    </comment>
    <comment ref="U85" authorId="1">
      <text>
        <r>
          <rPr>
            <sz val="9"/>
            <color indexed="81"/>
            <rFont val="Tahoma"/>
            <family val="2"/>
          </rPr>
          <t>These numbers come from Table 19 of TxDOT Research Report 0-6932-R1.</t>
        </r>
      </text>
    </comment>
    <comment ref="Y85" authorId="1">
      <text>
        <r>
          <rPr>
            <sz val="9"/>
            <color indexed="81"/>
            <rFont val="Tahoma"/>
            <family val="2"/>
          </rPr>
          <t>These numbers come from Table 21 of TxDOT Research Report 0-6932-R1.</t>
        </r>
      </text>
    </comment>
    <comment ref="Y91" authorId="1">
      <text>
        <r>
          <rPr>
            <sz val="9"/>
            <color indexed="81"/>
            <rFont val="Tahoma"/>
            <family val="2"/>
          </rPr>
          <t>These numbers come from Equation 44 of TxDOT Research Report 0-6932-R1.</t>
        </r>
      </text>
    </comment>
    <comment ref="V97" authorId="1">
      <text>
        <r>
          <rPr>
            <sz val="9"/>
            <color indexed="81"/>
            <rFont val="Tahoma"/>
            <family val="2"/>
          </rPr>
          <t>These numbers come from Equations 32-40 of TxDOT Research Report 0-6932-R1.</t>
        </r>
      </text>
    </comment>
    <comment ref="W146" authorId="1">
      <text>
        <r>
          <rPr>
            <sz val="9"/>
            <color indexed="81"/>
            <rFont val="Tahoma"/>
            <family val="2"/>
          </rPr>
          <t>This number is the terminal skid number.</t>
        </r>
      </text>
    </comment>
  </commentList>
</comments>
</file>

<file path=xl/sharedStrings.xml><?xml version="1.0" encoding="utf-8"?>
<sst xmlns="http://schemas.openxmlformats.org/spreadsheetml/2006/main" count="522" uniqueCount="308">
  <si>
    <t>Path radius (ft)</t>
  </si>
  <si>
    <t>Correcting</t>
  </si>
  <si>
    <t>PC</t>
  </si>
  <si>
    <t>PT</t>
  </si>
  <si>
    <t>Steering fluctuation factor</t>
  </si>
  <si>
    <t>Maximum lateral shift (ft)</t>
  </si>
  <si>
    <t>85th % tangent speed (mph)</t>
  </si>
  <si>
    <t>Deflection angle (degrees)</t>
  </si>
  <si>
    <t>Regulatory speed limit (mph)</t>
  </si>
  <si>
    <t>Advisory speed (mph)</t>
  </si>
  <si>
    <t>Curve length (ft)</t>
  </si>
  <si>
    <t>MC</t>
  </si>
  <si>
    <t>Average lane width (ft)</t>
  </si>
  <si>
    <t>b1</t>
  </si>
  <si>
    <t>b0</t>
  </si>
  <si>
    <t>b2</t>
  </si>
  <si>
    <t>PC-MC</t>
  </si>
  <si>
    <t>Average shoulder width (ft)</t>
  </si>
  <si>
    <t>Lane width</t>
  </si>
  <si>
    <t>Shoulder width</t>
  </si>
  <si>
    <t>Intercept</t>
  </si>
  <si>
    <t>ADT</t>
  </si>
  <si>
    <t>Curve radius (ft)</t>
  </si>
  <si>
    <t>K</t>
  </si>
  <si>
    <t>Skid number</t>
  </si>
  <si>
    <t>Wet-Weather CMFs</t>
  </si>
  <si>
    <t>Overall Crash Modification Factors (CMFs)</t>
  </si>
  <si>
    <t>Run-off-Road CMFs</t>
  </si>
  <si>
    <t>Wet-Weather Run-off-Road CMFs</t>
  </si>
  <si>
    <t>Crash Prediction Model Calculations</t>
  </si>
  <si>
    <t>General Information</t>
  </si>
  <si>
    <t>District</t>
  </si>
  <si>
    <t>Highway</t>
  </si>
  <si>
    <t>Date</t>
  </si>
  <si>
    <t>Analyst</t>
  </si>
  <si>
    <t>Beginning milepoint</t>
  </si>
  <si>
    <t>Ending milepoint</t>
  </si>
  <si>
    <t>Control section</t>
  </si>
  <si>
    <t>Curve ID number</t>
  </si>
  <si>
    <t>Texas Curve Margin of Safety Worksheet</t>
  </si>
  <si>
    <t>Before</t>
  </si>
  <si>
    <t>After</t>
  </si>
  <si>
    <t>N, C</t>
  </si>
  <si>
    <t>I, D, S</t>
  </si>
  <si>
    <t>Grade (%)</t>
  </si>
  <si>
    <t>MC-PT</t>
  </si>
  <si>
    <t>Travel time (s)</t>
  </si>
  <si>
    <t>Deceleration rate (g)</t>
  </si>
  <si>
    <t>Friction / skid number intercept</t>
  </si>
  <si>
    <t>Friction / skid number coefficient</t>
  </si>
  <si>
    <t>Over-dispersion</t>
  </si>
  <si>
    <t>Predicted</t>
  </si>
  <si>
    <t>Expected</t>
  </si>
  <si>
    <t>Weight</t>
  </si>
  <si>
    <t>Run-off-road crashes</t>
  </si>
  <si>
    <t>Wet-weather crashes</t>
  </si>
  <si>
    <t>All crashes</t>
  </si>
  <si>
    <t xml:space="preserve">   All</t>
  </si>
  <si>
    <t xml:space="preserve">   Wet-weather</t>
  </si>
  <si>
    <t xml:space="preserve">   Run-off-road (ROR)</t>
  </si>
  <si>
    <t xml:space="preserve">   Wet-weather ROR</t>
  </si>
  <si>
    <t xml:space="preserve">   Skid number</t>
  </si>
  <si>
    <t>Predicted Crash Counts in Analysis Period</t>
  </si>
  <si>
    <t>Predicted Change in Crash Count</t>
  </si>
  <si>
    <t>Intermediate calculations</t>
  </si>
  <si>
    <t>Mean texture depth (in)</t>
  </si>
  <si>
    <t>Skid test speed (mph)</t>
  </si>
  <si>
    <t>Curve deflection</t>
  </si>
  <si>
    <t>Right</t>
  </si>
  <si>
    <t>Curve radius</t>
  </si>
  <si>
    <t xml:space="preserve">   Curve radius</t>
  </si>
  <si>
    <t>Left</t>
  </si>
  <si>
    <t>Superelevation rate (%)</t>
  </si>
  <si>
    <t>Deflection to Left</t>
  </si>
  <si>
    <t>Deflection to Right</t>
  </si>
  <si>
    <t>ROR</t>
  </si>
  <si>
    <t>Wet</t>
  </si>
  <si>
    <t>All</t>
  </si>
  <si>
    <t>85th % speed</t>
  </si>
  <si>
    <t>(average</t>
  </si>
  <si>
    <t>of left &amp;</t>
  </si>
  <si>
    <t>right)</t>
  </si>
  <si>
    <t>Deflection</t>
  </si>
  <si>
    <t>to</t>
  </si>
  <si>
    <t>Page 2</t>
  </si>
  <si>
    <t>Page 1</t>
  </si>
  <si>
    <t>Page 3</t>
  </si>
  <si>
    <t>Page 4</t>
  </si>
  <si>
    <t>85th % speed (mph)</t>
  </si>
  <si>
    <t>FOREWORD</t>
  </si>
  <si>
    <t>INSTRUCTIONS</t>
  </si>
  <si>
    <t>Blue cells represent "input data."  Each time the worksheet is used, the values in these cells should be changed to represent the</t>
  </si>
  <si>
    <t xml:space="preserve">Yellow cells represent "calibration factors."  The values in these cells represent reasonable values for most situations and do not </t>
  </si>
  <si>
    <t xml:space="preserve">need to be changed.  Calibration factors can be changed to more accurately reflect local conditions.  However, field data </t>
  </si>
  <si>
    <t>from sites local to the agency should be the basis for this change.</t>
  </si>
  <si>
    <t>DISCLAIMER</t>
  </si>
  <si>
    <t>No warranty is made by the developers or their employer as to the accuracy, completeness, or reliability of this software and its</t>
  </si>
  <si>
    <t>associated equations and documentation.  No responsibility is assumed by the developers for incorrect results or damages resulting</t>
  </si>
  <si>
    <t>from the use of this software.</t>
  </si>
  <si>
    <t xml:space="preserve">This software is copyrighted.  All rights are reserved.  This product may not, in whole or in part, be copied, photocopied, reproduced, </t>
  </si>
  <si>
    <t>any person of such revision.</t>
  </si>
  <si>
    <t>Texas Curve Margin of Safety</t>
  </si>
  <si>
    <t xml:space="preserve">This software can be used to assist with the assessment of margin of safety for a horizontal curve.  It is intended for use by </t>
  </si>
  <si>
    <t>Each cell on the Analysis worksheet has been color-coded to indicate the type of data entered or displayed.  The following list</t>
  </si>
  <si>
    <t>indentifies the meaning of each cell color.</t>
  </si>
  <si>
    <t>Rose cells represent "key output variables."  The values are computed using the input data, calibration factors, and default values.</t>
  </si>
  <si>
    <t>Note:  white, gray, and rose cells are locked and cannot be changed.</t>
  </si>
  <si>
    <t>highway curve being evaluated.  Input data must be provided by the analyst.</t>
  </si>
  <si>
    <t>Orange cells represent "optional input data."  The values in these cells are required to conduct the analysis; however, if values are</t>
  </si>
  <si>
    <t>not provided, the program can estimate the values that would be entered into these cells.</t>
  </si>
  <si>
    <t>translated, or reduced to any electronic medium or machine-readable form without prior consent, in writing, from Michael P. Pratt.</t>
  </si>
  <si>
    <t>This product is subject to change without notice and does not represent a commitment on the part of Michael P. Pratt to notify</t>
  </si>
  <si>
    <t>engineers and technicians responsible for safety analysis or management of rural highway pavement or traffic control devices.</t>
  </si>
  <si>
    <t>Texas A&amp;M Transportation Institute, College Station, Texas, 2013.</t>
  </si>
  <si>
    <r>
      <t xml:space="preserve">Pratt, Michael P., Srinivas R. Geedipally, Adam M. Pike, Paul J. Carlson, and Dominique Lord.  </t>
    </r>
    <r>
      <rPr>
        <i/>
        <sz val="10"/>
        <rFont val="Arial"/>
        <family val="2"/>
      </rPr>
      <t>Evaluating the Need</t>
    </r>
  </si>
  <si>
    <r>
      <t>for Surface Treatments to Reduce Crash Frequency on Horizontal Curves</t>
    </r>
    <r>
      <rPr>
        <sz val="10"/>
        <rFont val="Arial"/>
        <family val="2"/>
      </rPr>
      <t>.  Report No. FHWA/TX-14/0-6714-1.</t>
    </r>
  </si>
  <si>
    <t>COPYRIGHT © 2018</t>
  </si>
  <si>
    <t>Precipitation</t>
  </si>
  <si>
    <t>Wet-weather run-off-road crashes</t>
  </si>
  <si>
    <t>Base cond.</t>
  </si>
  <si>
    <t xml:space="preserve">   Skid x Precip.</t>
  </si>
  <si>
    <t xml:space="preserve">   Annual precip.</t>
  </si>
  <si>
    <t>Model</t>
  </si>
  <si>
    <t>Wet ROR</t>
  </si>
  <si>
    <t>Direction</t>
  </si>
  <si>
    <t>Time period</t>
  </si>
  <si>
    <t>Reported</t>
  </si>
  <si>
    <t>Annual precipitation rate (inches)</t>
  </si>
  <si>
    <t>Treatment cost</t>
  </si>
  <si>
    <t>Benefit-Cost Analysis Calculations</t>
  </si>
  <si>
    <t>Net benefit</t>
  </si>
  <si>
    <t>Benefit-cost ratio</t>
  </si>
  <si>
    <t>Average crash cost</t>
  </si>
  <si>
    <t>Site Characteristics Input Data</t>
  </si>
  <si>
    <t>Crash Analysis Input Data</t>
  </si>
  <si>
    <t>Economic discount rate</t>
  </si>
  <si>
    <t>Terminal</t>
  </si>
  <si>
    <t xml:space="preserve">   rate (%)</t>
  </si>
  <si>
    <t>Superelevation</t>
  </si>
  <si>
    <t xml:space="preserve">   (mph)</t>
  </si>
  <si>
    <t>Speed differential</t>
  </si>
  <si>
    <t xml:space="preserve">   curve speed</t>
  </si>
  <si>
    <t>Skid number at</t>
  </si>
  <si>
    <t xml:space="preserve">   friction supply</t>
  </si>
  <si>
    <t>Maximum side</t>
  </si>
  <si>
    <t>Adjusted side</t>
  </si>
  <si>
    <t xml:space="preserve">   demand</t>
  </si>
  <si>
    <t xml:space="preserve">   safety</t>
  </si>
  <si>
    <t>Margin of</t>
  </si>
  <si>
    <t>Lane</t>
  </si>
  <si>
    <t>Mix Type</t>
  </si>
  <si>
    <t>A</t>
  </si>
  <si>
    <t>B</t>
  </si>
  <si>
    <t>C</t>
  </si>
  <si>
    <t>N</t>
  </si>
  <si>
    <t>DL (AADT)</t>
  </si>
  <si>
    <t>Equivalent Polishing Cycles</t>
  </si>
  <si>
    <t>Aggregation</t>
  </si>
  <si>
    <t>Limestone</t>
  </si>
  <si>
    <t>Dolomite</t>
  </si>
  <si>
    <t>Sandstone</t>
  </si>
  <si>
    <t>Igneous</t>
  </si>
  <si>
    <t>Aggregate Angularity Parameters</t>
  </si>
  <si>
    <t>Aggregate Texture Parameters</t>
  </si>
  <si>
    <t>CAM</t>
  </si>
  <si>
    <t>TOM</t>
  </si>
  <si>
    <t>PFC</t>
  </si>
  <si>
    <t>Thin PFC</t>
  </si>
  <si>
    <t>Mix Design Parameters</t>
  </si>
  <si>
    <t>Aggregate Texture/Angularity Parameters</t>
  </si>
  <si>
    <t>TMF</t>
  </si>
  <si>
    <t>Change before-after</t>
  </si>
  <si>
    <t>Change before-terminal</t>
  </si>
  <si>
    <t>Pavement Treatment Skid Number</t>
  </si>
  <si>
    <t>PDO</t>
  </si>
  <si>
    <t xml:space="preserve">   friction</t>
  </si>
  <si>
    <t>Side</t>
  </si>
  <si>
    <t>Page 5</t>
  </si>
  <si>
    <t>Page 6</t>
  </si>
  <si>
    <t>SK at year "n" after construction</t>
  </si>
  <si>
    <t>SK</t>
  </si>
  <si>
    <t>DL (tk)</t>
  </si>
  <si>
    <t>Truck percentage</t>
  </si>
  <si>
    <t>Pavement Treatment Input Data</t>
  </si>
  <si>
    <t>Curve severity</t>
  </si>
  <si>
    <t>Analysis period (yr)</t>
  </si>
  <si>
    <t>Crash data period (yr)</t>
  </si>
  <si>
    <t>SK CMF</t>
  </si>
  <si>
    <t>Reduction</t>
  </si>
  <si>
    <t>Safety benefit calculations</t>
  </si>
  <si>
    <t>Developed by:  Michael P. Pratt, Srinivas R. Geedipally, Bryan Wilson, and Adam M. Pike</t>
  </si>
  <si>
    <t>2U</t>
  </si>
  <si>
    <t>4U</t>
  </si>
  <si>
    <t>4D</t>
  </si>
  <si>
    <t>Config.</t>
  </si>
  <si>
    <t>Roadway configuration</t>
  </si>
  <si>
    <t>NPV</t>
  </si>
  <si>
    <t>Current</t>
  </si>
  <si>
    <t>Safety Prediction Models</t>
  </si>
  <si>
    <t>Category</t>
  </si>
  <si>
    <t>Cost</t>
  </si>
  <si>
    <t>Distrib.</t>
  </si>
  <si>
    <t>Calibration factors and model coefficients for crash prediction</t>
  </si>
  <si>
    <t>Calibration factors and model coefficients for margin of safety and skid number</t>
  </si>
  <si>
    <t>Over analysis period:</t>
  </si>
  <si>
    <t>Over positive period:</t>
  </si>
  <si>
    <t>Design Lane Factor for AADT</t>
  </si>
  <si>
    <t>Design Lane Factor for trucks</t>
  </si>
  <si>
    <t>Coef</t>
  </si>
  <si>
    <t>Value</t>
  </si>
  <si>
    <t>MC speed</t>
  </si>
  <si>
    <r>
      <rPr>
        <sz val="10"/>
        <rFont val="Calibri"/>
        <family val="2"/>
      </rPr>
      <t>Δ</t>
    </r>
    <r>
      <rPr>
        <sz val="10"/>
        <rFont val="Arial"/>
        <family val="2"/>
      </rPr>
      <t>PC-MC</t>
    </r>
  </si>
  <si>
    <r>
      <rPr>
        <sz val="10"/>
        <rFont val="Calibri"/>
        <family val="2"/>
      </rPr>
      <t>Δ</t>
    </r>
    <r>
      <rPr>
        <sz val="10"/>
        <rFont val="Arial"/>
        <family val="2"/>
      </rPr>
      <t>PT-MC</t>
    </r>
  </si>
  <si>
    <t>Other Values</t>
  </si>
  <si>
    <t>Speed Prediction</t>
  </si>
  <si>
    <t>Traffic Multiplication Factor</t>
  </si>
  <si>
    <r>
      <t xml:space="preserve">Years to effective terminal </t>
    </r>
    <r>
      <rPr>
        <i/>
        <sz val="10"/>
        <rFont val="Arial"/>
        <family val="2"/>
      </rPr>
      <t>SK</t>
    </r>
    <r>
      <rPr>
        <sz val="10"/>
        <rFont val="Arial"/>
        <family val="2"/>
      </rPr>
      <t>:</t>
    </r>
  </si>
  <si>
    <r>
      <t xml:space="preserve">Effective terminal </t>
    </r>
    <r>
      <rPr>
        <i/>
        <sz val="10"/>
        <rFont val="Arial"/>
        <family val="2"/>
      </rPr>
      <t>SK</t>
    </r>
    <r>
      <rPr>
        <sz val="10"/>
        <rFont val="Arial"/>
        <family val="2"/>
      </rPr>
      <t>:</t>
    </r>
  </si>
  <si>
    <t>λ (scale)</t>
  </si>
  <si>
    <t>κ (shape)</t>
  </si>
  <si>
    <t>Treatment Type</t>
  </si>
  <si>
    <t>Asphalt</t>
  </si>
  <si>
    <t>Overlay</t>
  </si>
  <si>
    <r>
      <t>a</t>
    </r>
    <r>
      <rPr>
        <i/>
        <vertAlign val="subscript"/>
        <sz val="10"/>
        <rFont val="Arial"/>
        <family val="2"/>
      </rPr>
      <t>ang</t>
    </r>
  </si>
  <si>
    <r>
      <t>b</t>
    </r>
    <r>
      <rPr>
        <i/>
        <vertAlign val="subscript"/>
        <sz val="10"/>
        <rFont val="Arial"/>
        <family val="2"/>
      </rPr>
      <t>ang</t>
    </r>
  </si>
  <si>
    <r>
      <t>c</t>
    </r>
    <r>
      <rPr>
        <i/>
        <vertAlign val="subscript"/>
        <sz val="10"/>
        <rFont val="Arial"/>
        <family val="2"/>
      </rPr>
      <t>ang</t>
    </r>
  </si>
  <si>
    <r>
      <t>a</t>
    </r>
    <r>
      <rPr>
        <i/>
        <vertAlign val="subscript"/>
        <sz val="10"/>
        <rFont val="Arial"/>
        <family val="2"/>
      </rPr>
      <t>tx</t>
    </r>
  </si>
  <si>
    <r>
      <t>b</t>
    </r>
    <r>
      <rPr>
        <i/>
        <vertAlign val="subscript"/>
        <sz val="10"/>
        <rFont val="Arial"/>
        <family val="2"/>
      </rPr>
      <t>tx</t>
    </r>
  </si>
  <si>
    <r>
      <t>c</t>
    </r>
    <r>
      <rPr>
        <i/>
        <vertAlign val="subscript"/>
        <sz val="10"/>
        <rFont val="Arial"/>
        <family val="2"/>
      </rPr>
      <t>tx</t>
    </r>
  </si>
  <si>
    <t>CMHB-F</t>
  </si>
  <si>
    <t>Type C (DG, SP)</t>
  </si>
  <si>
    <t>Type D (DG, SP)</t>
  </si>
  <si>
    <t>Type F (DG, SP)</t>
  </si>
  <si>
    <t>SMA (Type C or D)</t>
  </si>
  <si>
    <t>Siliceous Gravel</t>
  </si>
  <si>
    <t>Limestone Gravel</t>
  </si>
  <si>
    <t>Flint</t>
  </si>
  <si>
    <t>Calcined Bauxite</t>
  </si>
  <si>
    <t>Lightweight Agg.</t>
  </si>
  <si>
    <t>Type</t>
  </si>
  <si>
    <t>AO</t>
  </si>
  <si>
    <t>SC</t>
  </si>
  <si>
    <t>HF</t>
  </si>
  <si>
    <t>Year</t>
  </si>
  <si>
    <t>Superelev. proportion at PC &amp; PT</t>
  </si>
  <si>
    <t>Skid Number Model Coefficients</t>
  </si>
  <si>
    <t>Variable</t>
  </si>
  <si>
    <t>tx</t>
  </si>
  <si>
    <t>ang</t>
  </si>
  <si>
    <t>Constant</t>
  </si>
  <si>
    <r>
      <t>a</t>
    </r>
    <r>
      <rPr>
        <i/>
        <vertAlign val="subscript"/>
        <sz val="10"/>
        <rFont val="Arial"/>
        <family val="2"/>
      </rPr>
      <t>mix</t>
    </r>
  </si>
  <si>
    <r>
      <t>b</t>
    </r>
    <r>
      <rPr>
        <i/>
        <vertAlign val="subscript"/>
        <sz val="10"/>
        <rFont val="Arial"/>
        <family val="2"/>
      </rPr>
      <t>mix</t>
    </r>
  </si>
  <si>
    <r>
      <t>c</t>
    </r>
    <r>
      <rPr>
        <i/>
        <vertAlign val="subscript"/>
        <sz val="10"/>
        <rFont val="Arial"/>
        <family val="2"/>
      </rPr>
      <t>mix</t>
    </r>
  </si>
  <si>
    <t>Scale</t>
  </si>
  <si>
    <t>λ</t>
  </si>
  <si>
    <t>κ</t>
  </si>
  <si>
    <t>Coef.</t>
  </si>
  <si>
    <t>Crashes</t>
  </si>
  <si>
    <t>Over full 20 years:</t>
  </si>
  <si>
    <t>Change Calculations</t>
  </si>
  <si>
    <t>Skid Number Model Parameters</t>
  </si>
  <si>
    <t>Row</t>
  </si>
  <si>
    <t>Parameter</t>
  </si>
  <si>
    <t xml:space="preserve">   % contribution to coarse aggregate</t>
  </si>
  <si>
    <t>High-friction treatment</t>
  </si>
  <si>
    <t>Aggregate type 1</t>
  </si>
  <si>
    <t>Wet-weather</t>
  </si>
  <si>
    <t>Run-off-road (ROR)</t>
  </si>
  <si>
    <t>Wet-weather ROR</t>
  </si>
  <si>
    <t>by type</t>
  </si>
  <si>
    <t>crash count</t>
  </si>
  <si>
    <t xml:space="preserve">    at advisory speed</t>
  </si>
  <si>
    <t xml:space="preserve">    at skid test speed</t>
  </si>
  <si>
    <r>
      <t xml:space="preserve">Margin of Safety Analysis </t>
    </r>
    <r>
      <rPr>
        <b/>
        <sz val="10"/>
        <rFont val="Arial"/>
        <family val="2"/>
      </rPr>
      <t>—</t>
    </r>
    <r>
      <rPr>
        <b/>
        <i/>
        <sz val="10"/>
        <rFont val="Arial"/>
        <family val="2"/>
      </rPr>
      <t xml:space="preserve"> Graphical Results</t>
    </r>
  </si>
  <si>
    <t>Margin of Safety Analysis — Tabular Results</t>
  </si>
  <si>
    <t>Skid number for existing surface</t>
  </si>
  <si>
    <t>AADT</t>
  </si>
  <si>
    <t>Per year</t>
  </si>
  <si>
    <t>Shld</t>
  </si>
  <si>
    <t>Radius</t>
  </si>
  <si>
    <t>Precip</t>
  </si>
  <si>
    <t>Empirical Bayes and Crash Prediction Calculations for After-Terminal Period</t>
  </si>
  <si>
    <t>Skid Number CMF</t>
  </si>
  <si>
    <t>End</t>
  </si>
  <si>
    <t>Analysis</t>
  </si>
  <si>
    <r>
      <t xml:space="preserve">Period of improved </t>
    </r>
    <r>
      <rPr>
        <i/>
        <sz val="10"/>
        <rFont val="Arial"/>
        <family val="2"/>
      </rPr>
      <t>SK</t>
    </r>
    <r>
      <rPr>
        <sz val="10"/>
        <rFont val="Arial"/>
        <family val="2"/>
      </rPr>
      <t xml:space="preserve"> (yr)</t>
    </r>
  </si>
  <si>
    <r>
      <rPr>
        <i/>
        <sz val="10"/>
        <rFont val="Arial"/>
        <family val="2"/>
      </rPr>
      <t>SK</t>
    </r>
    <r>
      <rPr>
        <sz val="10"/>
        <rFont val="Arial"/>
        <family val="2"/>
      </rPr>
      <t xml:space="preserve"> at end of analysis period</t>
    </r>
  </si>
  <si>
    <r>
      <rPr>
        <i/>
        <sz val="10"/>
        <rFont val="Arial"/>
        <family val="2"/>
      </rPr>
      <t>SK</t>
    </r>
    <r>
      <rPr>
        <sz val="10"/>
        <rFont val="Arial"/>
        <family val="2"/>
      </rPr>
      <t xml:space="preserve"> at end of improved period</t>
    </r>
  </si>
  <si>
    <t>Aggregate List</t>
  </si>
  <si>
    <t xml:space="preserve">  Version 5</t>
  </si>
  <si>
    <r>
      <t>Pavement Safety-Based Guidelines for Horizontal Curve Safety</t>
    </r>
    <r>
      <rPr>
        <sz val="10"/>
        <rFont val="Arial"/>
        <family val="2"/>
      </rPr>
      <t>.  Report No. FHWA/TX-18/0-6932-R1.</t>
    </r>
  </si>
  <si>
    <t>Pratt, Michael P., Srinivas R. Geedipally, Bryan Wilson, Subasish Das, Marcus Brewer, and Dominique Lord.</t>
  </si>
  <si>
    <t>Texas A&amp;M Transportation Institute, College Station, Texas, 2018.</t>
  </si>
  <si>
    <t>questions about the modeling approach, assumptions, or limitations.</t>
  </si>
  <si>
    <t>The equations used in this software are documented in these reports.  Analysts should refer to the reports whenever they have</t>
  </si>
  <si>
    <r>
      <t xml:space="preserve">Pratt, Michael P., Srinivas R. Geedipally, Bryan Wilson, and Dominique Lord.  </t>
    </r>
    <r>
      <rPr>
        <i/>
        <sz val="10"/>
        <rFont val="Arial"/>
        <family val="2"/>
      </rPr>
      <t>Guidelines and Evaluation Framework</t>
    </r>
  </si>
  <si>
    <r>
      <t>for Horizontal Curve Wet-Surface Safety Analysis:  A User Guide</t>
    </r>
    <r>
      <rPr>
        <sz val="10"/>
        <rFont val="Arial"/>
        <family val="2"/>
      </rPr>
      <t>.  Report No. FHWA/TX-18/0-6932-P1.</t>
    </r>
  </si>
  <si>
    <t>The document listed below includes a User Guide for this software and its companion guidelines.</t>
  </si>
  <si>
    <t>This software is based on the research results described in the reports identified below.  The analyst is encouraged to read</t>
  </si>
  <si>
    <t>the documents so that he or she will have an understanding of how best to use the software and interpret its output.</t>
  </si>
  <si>
    <t>ADT growth rate (%)</t>
  </si>
  <si>
    <t>Average daily traffic volume (ADT, veh/d)</t>
  </si>
  <si>
    <t>Proposed treatment type</t>
  </si>
  <si>
    <t>Aggregate type 2 (optional)</t>
  </si>
  <si>
    <t>Seal Coat (Gr. 3, 4, 5)</t>
  </si>
  <si>
    <t>Design Lane Factor</t>
  </si>
  <si>
    <t>Skid Number Calculations</t>
  </si>
  <si>
    <t>Crash Costs and Severity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</si>
</sst>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
    <numFmt numFmtId="167" formatCode="[$-409]mmmm\ d\,\ yyyy;@"/>
    <numFmt numFmtId="168" formatCode="&quot;$&quot;#,##0"/>
  </numFmts>
  <fonts count="18">
    <font>
      <sz val="10"/>
      <name val="Arial"/>
    </font>
    <font>
      <sz val="8"/>
      <name val="Arial"/>
      <family val="2"/>
    </font>
    <font>
      <sz val="10"/>
      <name val="Arial"/>
      <family val="2"/>
    </font>
    <font>
      <b/>
      <i/>
      <sz val="10"/>
      <name val="Arial"/>
      <family val="2"/>
    </font>
    <font>
      <b/>
      <i/>
      <u/>
      <sz val="10"/>
      <name val="Arial"/>
      <family val="2"/>
    </font>
    <font>
      <i/>
      <sz val="10"/>
      <name val="Arial"/>
      <family val="2"/>
    </font>
    <font>
      <b/>
      <sz val="10"/>
      <name val="Arial"/>
      <family val="2"/>
    </font>
    <font>
      <i/>
      <sz val="8"/>
      <name val="Arial"/>
      <family val="2"/>
    </font>
    <font>
      <sz val="8"/>
      <color indexed="81"/>
      <name val="Tahoma"/>
      <family val="2"/>
    </font>
    <font>
      <sz val="26"/>
      <name val="Arial"/>
      <family val="2"/>
    </font>
    <font>
      <b/>
      <sz val="10"/>
      <name val="Arial"/>
      <family val="2"/>
    </font>
    <font>
      <sz val="9"/>
      <name val="Arial"/>
      <family val="2"/>
    </font>
    <font>
      <sz val="10"/>
      <name val="Calibri"/>
      <family val="2"/>
    </font>
    <font>
      <i/>
      <u/>
      <sz val="10"/>
      <name val="Arial"/>
      <family val="2"/>
    </font>
    <font>
      <sz val="9"/>
      <color indexed="81"/>
      <name val="Tahoma"/>
      <family val="2"/>
    </font>
    <font>
      <sz val="10"/>
      <color rgb="FFFF0000"/>
      <name val="Arial"/>
      <family val="2"/>
    </font>
    <font>
      <i/>
      <vertAlign val="subscript"/>
      <sz val="10"/>
      <name val="Arial"/>
      <family val="2"/>
    </font>
    <font>
      <i/>
      <sz val="9"/>
      <color indexed="81"/>
      <name val="Tahoma"/>
      <family val="2"/>
    </font>
  </fonts>
  <fills count="9">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40">
    <xf numFmtId="0" fontId="0" fillId="0" borderId="0" xfId="0"/>
    <xf numFmtId="0" fontId="0" fillId="4" borderId="1" xfId="0" applyFill="1" applyBorder="1" applyProtection="1">
      <protection locked="0"/>
    </xf>
    <xf numFmtId="0" fontId="0" fillId="5" borderId="1" xfId="0" applyFill="1" applyBorder="1" applyProtection="1">
      <protection locked="0"/>
    </xf>
    <xf numFmtId="0" fontId="0" fillId="4" borderId="21" xfId="0" applyFill="1" applyBorder="1" applyProtection="1">
      <protection locked="0"/>
    </xf>
    <xf numFmtId="0" fontId="0" fillId="6" borderId="1" xfId="0" applyFill="1" applyBorder="1" applyProtection="1">
      <protection locked="0"/>
    </xf>
    <xf numFmtId="0" fontId="10" fillId="0" borderId="0" xfId="0" applyFont="1"/>
    <xf numFmtId="0" fontId="5" fillId="0" borderId="0" xfId="0" applyFont="1"/>
    <xf numFmtId="0" fontId="2" fillId="0" borderId="0" xfId="0" applyFont="1"/>
    <xf numFmtId="0" fontId="2" fillId="4" borderId="0" xfId="0" applyFont="1" applyFill="1"/>
    <xf numFmtId="0" fontId="2" fillId="6" borderId="0" xfId="0" applyFont="1" applyFill="1"/>
    <xf numFmtId="0" fontId="2" fillId="0" borderId="0" xfId="0" applyFont="1" applyFill="1"/>
    <xf numFmtId="0" fontId="2" fillId="5" borderId="0" xfId="0" applyFont="1" applyFill="1"/>
    <xf numFmtId="0" fontId="2" fillId="2" borderId="0" xfId="0" applyFont="1" applyFill="1"/>
    <xf numFmtId="0" fontId="6" fillId="0" borderId="0" xfId="0" applyFont="1"/>
    <xf numFmtId="164" fontId="0" fillId="6" borderId="1" xfId="0" applyNumberFormat="1" applyFill="1" applyBorder="1" applyProtection="1">
      <protection locked="0"/>
    </xf>
    <xf numFmtId="0" fontId="0" fillId="7" borderId="1" xfId="0" applyFill="1" applyBorder="1" applyAlignment="1" applyProtection="1">
      <alignment horizontal="center"/>
      <protection locked="0"/>
    </xf>
    <xf numFmtId="0" fontId="0" fillId="6" borderId="19" xfId="0" applyFill="1" applyBorder="1" applyProtection="1">
      <protection locked="0"/>
    </xf>
    <xf numFmtId="0" fontId="0" fillId="4" borderId="1" xfId="0" applyFill="1" applyBorder="1" applyAlignment="1" applyProtection="1">
      <alignment horizontal="right"/>
      <protection locked="0"/>
    </xf>
    <xf numFmtId="0" fontId="0" fillId="6" borderId="1" xfId="0" applyFill="1" applyBorder="1" applyAlignment="1" applyProtection="1">
      <alignment horizontal="center"/>
      <protection locked="0"/>
    </xf>
    <xf numFmtId="0" fontId="0" fillId="0" borderId="0" xfId="0" applyProtection="1"/>
    <xf numFmtId="0" fontId="0" fillId="0" borderId="2" xfId="0" applyBorder="1" applyProtection="1"/>
    <xf numFmtId="0" fontId="0" fillId="0" borderId="4" xfId="0" applyBorder="1" applyProtection="1"/>
    <xf numFmtId="0" fontId="4" fillId="0" borderId="4" xfId="0" applyFont="1" applyBorder="1" applyAlignment="1" applyProtection="1">
      <alignment horizontal="center"/>
    </xf>
    <xf numFmtId="0" fontId="4" fillId="0" borderId="0" xfId="0" applyFont="1" applyBorder="1" applyAlignment="1" applyProtection="1"/>
    <xf numFmtId="0" fontId="0" fillId="0" borderId="5" xfId="0" applyBorder="1" applyProtection="1"/>
    <xf numFmtId="0" fontId="3" fillId="3" borderId="17" xfId="0" applyFont="1" applyFill="1" applyBorder="1" applyProtection="1"/>
    <xf numFmtId="0" fontId="3" fillId="3" borderId="18" xfId="0" applyFont="1" applyFill="1" applyBorder="1" applyProtection="1"/>
    <xf numFmtId="0" fontId="3" fillId="3" borderId="19" xfId="0" applyFont="1" applyFill="1" applyBorder="1" applyProtection="1"/>
    <xf numFmtId="0" fontId="0" fillId="0" borderId="6" xfId="0" applyBorder="1" applyProtection="1"/>
    <xf numFmtId="0" fontId="0" fillId="0" borderId="0" xfId="0" applyBorder="1" applyProtection="1"/>
    <xf numFmtId="0" fontId="0" fillId="0" borderId="6" xfId="0" applyFill="1" applyBorder="1" applyProtection="1"/>
    <xf numFmtId="0" fontId="0" fillId="0" borderId="10" xfId="0" applyBorder="1" applyProtection="1"/>
    <xf numFmtId="0" fontId="0" fillId="0" borderId="11" xfId="0" applyBorder="1" applyProtection="1"/>
    <xf numFmtId="0" fontId="2" fillId="0" borderId="20" xfId="0" applyFont="1" applyBorder="1" applyAlignment="1" applyProtection="1">
      <alignment horizontal="center"/>
    </xf>
    <xf numFmtId="0" fontId="0" fillId="0" borderId="17" xfId="0" applyBorder="1" applyProtection="1"/>
    <xf numFmtId="0" fontId="0" fillId="0" borderId="18" xfId="0" applyBorder="1" applyProtection="1"/>
    <xf numFmtId="0" fontId="0" fillId="0" borderId="21" xfId="0" applyBorder="1" applyProtection="1"/>
    <xf numFmtId="0" fontId="0" fillId="0" borderId="1" xfId="0" applyBorder="1" applyProtection="1"/>
    <xf numFmtId="164" fontId="0" fillId="0" borderId="1" xfId="0" applyNumberFormat="1" applyFill="1" applyBorder="1" applyProtection="1"/>
    <xf numFmtId="0" fontId="0" fillId="0" borderId="14" xfId="0" applyFill="1" applyBorder="1" applyProtection="1"/>
    <xf numFmtId="0" fontId="0" fillId="0" borderId="15" xfId="0" applyBorder="1" applyProtection="1"/>
    <xf numFmtId="0" fontId="0" fillId="0" borderId="14" xfId="0" applyBorder="1" applyProtection="1"/>
    <xf numFmtId="0" fontId="0" fillId="0" borderId="18" xfId="0" applyFill="1" applyBorder="1" applyProtection="1"/>
    <xf numFmtId="0" fontId="0" fillId="0" borderId="22" xfId="0" applyFill="1" applyBorder="1" applyProtection="1"/>
    <xf numFmtId="0" fontId="0" fillId="0" borderId="20" xfId="0" applyBorder="1" applyProtection="1"/>
    <xf numFmtId="0" fontId="0" fillId="0" borderId="22" xfId="0" applyBorder="1" applyProtection="1"/>
    <xf numFmtId="0" fontId="0" fillId="0" borderId="19" xfId="0" applyBorder="1" applyProtection="1"/>
    <xf numFmtId="0" fontId="2" fillId="0" borderId="17" xfId="0" applyFont="1" applyBorder="1" applyProtection="1"/>
    <xf numFmtId="0" fontId="2" fillId="0" borderId="10" xfId="0" applyFont="1" applyBorder="1" applyProtection="1"/>
    <xf numFmtId="0" fontId="0" fillId="0" borderId="23" xfId="0" applyBorder="1" applyProtection="1"/>
    <xf numFmtId="0" fontId="2" fillId="0" borderId="14" xfId="0" applyFont="1" applyBorder="1" applyProtection="1"/>
    <xf numFmtId="0" fontId="2" fillId="0" borderId="17" xfId="0" applyFont="1" applyBorder="1" applyAlignment="1" applyProtection="1">
      <alignment horizontal="left"/>
    </xf>
    <xf numFmtId="0" fontId="0" fillId="0" borderId="17" xfId="0" applyBorder="1" applyAlignment="1" applyProtection="1">
      <alignment horizontal="left"/>
    </xf>
    <xf numFmtId="0" fontId="2" fillId="0" borderId="13" xfId="0" applyFont="1" applyFill="1" applyBorder="1" applyProtection="1"/>
    <xf numFmtId="0" fontId="0" fillId="3" borderId="18" xfId="0" applyFill="1" applyBorder="1" applyProtection="1"/>
    <xf numFmtId="0" fontId="0" fillId="3" borderId="19" xfId="0" applyFill="1" applyBorder="1" applyProtection="1"/>
    <xf numFmtId="0" fontId="0" fillId="0" borderId="13" xfId="0" applyBorder="1" applyProtection="1"/>
    <xf numFmtId="0" fontId="3" fillId="3" borderId="10" xfId="0" applyFont="1" applyFill="1" applyBorder="1" applyProtection="1"/>
    <xf numFmtId="0" fontId="3" fillId="3" borderId="11" xfId="0" applyFont="1" applyFill="1" applyBorder="1" applyProtection="1"/>
    <xf numFmtId="0" fontId="3" fillId="3" borderId="23" xfId="0" applyFont="1" applyFill="1" applyBorder="1" applyProtection="1"/>
    <xf numFmtId="0" fontId="5" fillId="0" borderId="17" xfId="0" applyFont="1" applyBorder="1" applyProtection="1"/>
    <xf numFmtId="0" fontId="0" fillId="0" borderId="1" xfId="0" applyFill="1" applyBorder="1" applyAlignment="1" applyProtection="1">
      <alignment horizontal="center"/>
    </xf>
    <xf numFmtId="164" fontId="0" fillId="0" borderId="20" xfId="0" applyNumberFormat="1" applyBorder="1" applyProtection="1"/>
    <xf numFmtId="0" fontId="0" fillId="0" borderId="12" xfId="0" applyBorder="1" applyProtection="1"/>
    <xf numFmtId="0" fontId="2" fillId="0" borderId="0" xfId="0" applyFont="1" applyProtection="1"/>
    <xf numFmtId="0" fontId="0" fillId="0" borderId="24" xfId="0" applyFill="1" applyBorder="1" applyAlignment="1" applyProtection="1">
      <alignment horizontal="left"/>
    </xf>
    <xf numFmtId="0" fontId="0" fillId="0" borderId="25" xfId="0" applyFill="1" applyBorder="1" applyProtection="1"/>
    <xf numFmtId="0" fontId="0" fillId="0" borderId="26" xfId="0" applyBorder="1" applyProtection="1"/>
    <xf numFmtId="0" fontId="0" fillId="0" borderId="27" xfId="0" applyBorder="1" applyAlignment="1" applyProtection="1">
      <alignment horizontal="center"/>
    </xf>
    <xf numFmtId="0" fontId="0" fillId="0" borderId="10" xfId="0" applyFill="1" applyBorder="1" applyAlignment="1" applyProtection="1">
      <alignment horizontal="left"/>
    </xf>
    <xf numFmtId="0" fontId="0" fillId="0" borderId="23" xfId="0" applyFill="1" applyBorder="1" applyProtection="1"/>
    <xf numFmtId="166" fontId="0" fillId="2" borderId="1" xfId="0" applyNumberFormat="1" applyFill="1" applyBorder="1" applyProtection="1"/>
    <xf numFmtId="0" fontId="0" fillId="0" borderId="13" xfId="0" applyBorder="1" applyAlignment="1" applyProtection="1">
      <alignment horizontal="left"/>
    </xf>
    <xf numFmtId="0" fontId="0" fillId="0" borderId="16" xfId="0" applyBorder="1" applyProtection="1"/>
    <xf numFmtId="0" fontId="2" fillId="0" borderId="0" xfId="0" applyNumberFormat="1" applyFont="1" applyProtection="1"/>
    <xf numFmtId="0" fontId="5" fillId="0" borderId="14" xfId="0" applyFont="1" applyBorder="1" applyProtection="1"/>
    <xf numFmtId="164" fontId="0" fillId="2" borderId="1" xfId="0" applyNumberFormat="1" applyFill="1" applyBorder="1" applyProtection="1"/>
    <xf numFmtId="0" fontId="0" fillId="0" borderId="28" xfId="0" applyBorder="1" applyProtection="1"/>
    <xf numFmtId="0" fontId="0" fillId="0" borderId="0" xfId="0" applyFill="1" applyBorder="1" applyProtection="1"/>
    <xf numFmtId="0" fontId="2" fillId="0" borderId="1" xfId="0" applyFont="1" applyBorder="1" applyProtection="1"/>
    <xf numFmtId="0" fontId="0" fillId="0" borderId="38" xfId="0" applyBorder="1" applyProtection="1"/>
    <xf numFmtId="0" fontId="2" fillId="0" borderId="1" xfId="0" applyFont="1" applyFill="1" applyBorder="1" applyProtection="1"/>
    <xf numFmtId="0" fontId="3" fillId="3" borderId="16" xfId="0" applyFont="1" applyFill="1" applyBorder="1" applyProtection="1"/>
    <xf numFmtId="2" fontId="0" fillId="0" borderId="1" xfId="0" applyNumberFormat="1" applyBorder="1" applyProtection="1"/>
    <xf numFmtId="0" fontId="2" fillId="0" borderId="13" xfId="0" applyFont="1" applyBorder="1" applyProtection="1"/>
    <xf numFmtId="0" fontId="2" fillId="0" borderId="0" xfId="0" applyFont="1" applyAlignment="1" applyProtection="1">
      <alignment horizontal="right"/>
    </xf>
    <xf numFmtId="0" fontId="0" fillId="2" borderId="1" xfId="0" applyNumberFormat="1" applyFill="1" applyBorder="1" applyProtection="1"/>
    <xf numFmtId="165" fontId="0" fillId="2" borderId="1" xfId="0" applyNumberFormat="1" applyFill="1" applyBorder="1" applyProtection="1"/>
    <xf numFmtId="0" fontId="0" fillId="0" borderId="0" xfId="0" applyFill="1" applyBorder="1" applyAlignment="1" applyProtection="1">
      <alignment horizontal="right"/>
    </xf>
    <xf numFmtId="0" fontId="7" fillId="0" borderId="0" xfId="0" applyFont="1" applyBorder="1" applyAlignment="1" applyProtection="1">
      <alignment horizontal="right"/>
    </xf>
    <xf numFmtId="0" fontId="0" fillId="0" borderId="7" xfId="0" applyBorder="1" applyProtection="1"/>
    <xf numFmtId="0" fontId="0" fillId="0" borderId="8" xfId="0" applyBorder="1" applyProtection="1"/>
    <xf numFmtId="0" fontId="0" fillId="0" borderId="9" xfId="0" applyBorder="1" applyProtection="1"/>
    <xf numFmtId="0" fontId="0" fillId="0" borderId="3" xfId="0" applyBorder="1" applyProtection="1"/>
    <xf numFmtId="0" fontId="13" fillId="0" borderId="0" xfId="0" applyFont="1" applyBorder="1" applyAlignment="1" applyProtection="1">
      <alignment horizontal="left"/>
    </xf>
    <xf numFmtId="0" fontId="13" fillId="0" borderId="0" xfId="0" applyFont="1" applyBorder="1" applyProtection="1"/>
    <xf numFmtId="0" fontId="5" fillId="0" borderId="17" xfId="0" applyFont="1" applyBorder="1" applyAlignment="1" applyProtection="1"/>
    <xf numFmtId="0" fontId="5" fillId="0" borderId="18" xfId="0" applyFont="1" applyBorder="1" applyAlignment="1" applyProtection="1"/>
    <xf numFmtId="0" fontId="0" fillId="0" borderId="1" xfId="0" applyBorder="1" applyAlignment="1" applyProtection="1">
      <alignment horizontal="center"/>
    </xf>
    <xf numFmtId="49" fontId="0" fillId="0" borderId="17" xfId="0" applyNumberFormat="1" applyBorder="1" applyAlignment="1" applyProtection="1"/>
    <xf numFmtId="0" fontId="0" fillId="0" borderId="17" xfId="0" applyBorder="1" applyAlignment="1" applyProtection="1"/>
    <xf numFmtId="0" fontId="0" fillId="0" borderId="0" xfId="0" applyBorder="1" applyAlignment="1" applyProtection="1">
      <alignment horizontal="left"/>
    </xf>
    <xf numFmtId="0" fontId="2" fillId="0" borderId="0" xfId="0" applyFont="1" applyBorder="1" applyProtection="1"/>
    <xf numFmtId="0" fontId="0" fillId="0" borderId="23" xfId="0" applyBorder="1" applyAlignment="1" applyProtection="1">
      <alignment horizontal="right"/>
    </xf>
    <xf numFmtId="0" fontId="0" fillId="0" borderId="12" xfId="0" applyBorder="1" applyAlignment="1" applyProtection="1">
      <alignment horizontal="right"/>
    </xf>
    <xf numFmtId="0" fontId="2" fillId="0" borderId="1" xfId="0" applyFont="1" applyBorder="1" applyAlignment="1" applyProtection="1">
      <alignment horizontal="center"/>
    </xf>
    <xf numFmtId="0" fontId="0" fillId="0" borderId="13" xfId="0" applyFill="1" applyBorder="1" applyAlignment="1" applyProtection="1">
      <alignment horizontal="left"/>
    </xf>
    <xf numFmtId="0" fontId="0" fillId="0" borderId="16" xfId="0" applyBorder="1" applyAlignment="1" applyProtection="1">
      <alignment horizontal="right"/>
    </xf>
    <xf numFmtId="0" fontId="5" fillId="0" borderId="17" xfId="0" applyFont="1" applyFill="1" applyBorder="1" applyProtection="1"/>
    <xf numFmtId="0" fontId="2" fillId="0" borderId="21" xfId="0" applyFont="1" applyBorder="1" applyProtection="1"/>
    <xf numFmtId="0" fontId="2" fillId="0" borderId="22" xfId="0" applyFont="1" applyBorder="1" applyProtection="1"/>
    <xf numFmtId="0" fontId="2" fillId="0" borderId="20" xfId="0" applyFont="1" applyBorder="1" applyProtection="1"/>
    <xf numFmtId="0" fontId="0" fillId="0" borderId="0" xfId="0" applyFont="1" applyFill="1" applyBorder="1" applyProtection="1"/>
    <xf numFmtId="0" fontId="0" fillId="0" borderId="13" xfId="0" applyFill="1" applyBorder="1" applyProtection="1"/>
    <xf numFmtId="0" fontId="0" fillId="0" borderId="1" xfId="0" applyFill="1" applyBorder="1" applyProtection="1"/>
    <xf numFmtId="0" fontId="2" fillId="0" borderId="20" xfId="0" applyFont="1" applyFill="1" applyBorder="1" applyAlignment="1" applyProtection="1">
      <alignment horizontal="left"/>
    </xf>
    <xf numFmtId="0" fontId="2" fillId="0" borderId="20" xfId="0" applyFont="1" applyFill="1" applyBorder="1" applyProtection="1"/>
    <xf numFmtId="0" fontId="2" fillId="0" borderId="14" xfId="0" applyFont="1" applyFill="1" applyBorder="1" applyProtection="1"/>
    <xf numFmtId="164" fontId="0" fillId="0" borderId="1" xfId="0" applyNumberFormat="1" applyFill="1" applyBorder="1" applyAlignment="1" applyProtection="1">
      <alignment horizontal="center"/>
    </xf>
    <xf numFmtId="164" fontId="0" fillId="0" borderId="1" xfId="0" applyNumberFormat="1" applyBorder="1" applyProtection="1"/>
    <xf numFmtId="168" fontId="0" fillId="0" borderId="1" xfId="0" applyNumberFormat="1" applyBorder="1" applyProtection="1"/>
    <xf numFmtId="165" fontId="0" fillId="0" borderId="1" xfId="0" applyNumberFormat="1" applyBorder="1" applyProtection="1"/>
    <xf numFmtId="0" fontId="0" fillId="0" borderId="0" xfId="0" applyFill="1" applyBorder="1" applyAlignment="1" applyProtection="1">
      <alignment horizontal="left"/>
    </xf>
    <xf numFmtId="0" fontId="2" fillId="0" borderId="0" xfId="0" applyFont="1" applyFill="1" applyBorder="1" applyProtection="1"/>
    <xf numFmtId="0" fontId="0" fillId="0" borderId="11" xfId="0" applyBorder="1" applyAlignment="1" applyProtection="1">
      <alignment horizontal="right"/>
    </xf>
    <xf numFmtId="0" fontId="0" fillId="0" borderId="0" xfId="0" applyBorder="1" applyAlignment="1" applyProtection="1">
      <alignment horizontal="right"/>
    </xf>
    <xf numFmtId="0" fontId="2" fillId="0" borderId="15" xfId="0" applyFont="1" applyBorder="1" applyAlignment="1" applyProtection="1">
      <alignment horizontal="right"/>
    </xf>
    <xf numFmtId="0" fontId="0" fillId="0" borderId="21" xfId="0" applyBorder="1" applyAlignment="1" applyProtection="1">
      <alignment horizontal="right"/>
    </xf>
    <xf numFmtId="2" fontId="0" fillId="0" borderId="20" xfId="0" applyNumberFormat="1" applyBorder="1" applyProtection="1"/>
    <xf numFmtId="0" fontId="2" fillId="0" borderId="11" xfId="0" applyFont="1" applyBorder="1" applyAlignment="1" applyProtection="1">
      <alignment horizontal="right"/>
    </xf>
    <xf numFmtId="0" fontId="2" fillId="0" borderId="23" xfId="0" applyFont="1" applyBorder="1" applyProtection="1"/>
    <xf numFmtId="0" fontId="0" fillId="0" borderId="1" xfId="0" applyBorder="1" applyAlignment="1" applyProtection="1">
      <alignment horizontal="right"/>
    </xf>
    <xf numFmtId="2" fontId="0" fillId="0" borderId="16" xfId="0" applyNumberFormat="1" applyBorder="1" applyProtection="1"/>
    <xf numFmtId="0" fontId="2" fillId="0" borderId="19" xfId="0" applyFont="1" applyBorder="1" applyAlignment="1" applyProtection="1">
      <alignment horizontal="right"/>
    </xf>
    <xf numFmtId="0" fontId="0" fillId="0" borderId="20" xfId="0" applyBorder="1" applyAlignment="1" applyProtection="1">
      <alignment horizontal="right"/>
    </xf>
    <xf numFmtId="0" fontId="5" fillId="0" borderId="19" xfId="0" applyFont="1" applyFill="1" applyBorder="1" applyAlignment="1" applyProtection="1"/>
    <xf numFmtId="2" fontId="0" fillId="0" borderId="19" xfId="0" applyNumberFormat="1" applyBorder="1" applyProtection="1"/>
    <xf numFmtId="0" fontId="5" fillId="0" borderId="18" xfId="0" applyFont="1" applyFill="1" applyBorder="1" applyAlignment="1" applyProtection="1"/>
    <xf numFmtId="0" fontId="0" fillId="0" borderId="19" xfId="0" applyFill="1" applyBorder="1" applyAlignment="1" applyProtection="1">
      <alignment horizontal="right"/>
    </xf>
    <xf numFmtId="0" fontId="0" fillId="0" borderId="0" xfId="0"/>
    <xf numFmtId="0" fontId="5" fillId="0" borderId="17" xfId="0" applyFont="1" applyBorder="1" applyAlignment="1" applyProtection="1">
      <alignment horizontal="left"/>
    </xf>
    <xf numFmtId="0" fontId="5" fillId="0" borderId="1" xfId="0" applyFont="1" applyBorder="1" applyAlignment="1" applyProtection="1">
      <alignment horizontal="left"/>
    </xf>
    <xf numFmtId="0" fontId="2" fillId="0" borderId="18" xfId="0" applyFont="1" applyBorder="1" applyAlignment="1" applyProtection="1">
      <alignment horizontal="left"/>
    </xf>
    <xf numFmtId="0" fontId="2" fillId="0" borderId="15" xfId="0" applyFont="1" applyBorder="1" applyAlignment="1" applyProtection="1">
      <alignment horizontal="left"/>
    </xf>
    <xf numFmtId="0" fontId="2" fillId="0" borderId="16" xfId="0" applyFont="1" applyBorder="1" applyAlignment="1" applyProtection="1">
      <alignment horizontal="center"/>
    </xf>
    <xf numFmtId="0" fontId="0" fillId="0" borderId="18" xfId="0" applyBorder="1" applyAlignment="1" applyProtection="1">
      <alignment horizontal="left"/>
    </xf>
    <xf numFmtId="0" fontId="15" fillId="0" borderId="0" xfId="0" applyFont="1" applyProtection="1"/>
    <xf numFmtId="0" fontId="2" fillId="0" borderId="12" xfId="0" applyFont="1" applyBorder="1" applyAlignment="1" applyProtection="1">
      <alignment horizontal="right"/>
    </xf>
    <xf numFmtId="0" fontId="2" fillId="0" borderId="37" xfId="0" applyFont="1" applyBorder="1" applyProtection="1"/>
    <xf numFmtId="0" fontId="5" fillId="0" borderId="1" xfId="0" applyFont="1" applyFill="1" applyBorder="1" applyProtection="1"/>
    <xf numFmtId="0" fontId="5" fillId="0" borderId="1" xfId="0" applyFont="1" applyBorder="1" applyProtection="1"/>
    <xf numFmtId="0" fontId="0" fillId="7" borderId="20" xfId="0" applyFill="1" applyBorder="1" applyAlignment="1" applyProtection="1">
      <alignment horizontal="center"/>
      <protection locked="0"/>
    </xf>
    <xf numFmtId="1" fontId="0" fillId="8" borderId="1" xfId="0" applyNumberFormat="1" applyFill="1" applyBorder="1" applyAlignment="1" applyProtection="1">
      <alignment horizontal="center"/>
    </xf>
    <xf numFmtId="0" fontId="0" fillId="0" borderId="37" xfId="0" applyBorder="1" applyProtection="1"/>
    <xf numFmtId="0" fontId="0" fillId="0" borderId="0" xfId="0" applyBorder="1" applyAlignment="1" applyProtection="1">
      <alignment horizontal="center"/>
    </xf>
    <xf numFmtId="0" fontId="2" fillId="8" borderId="0" xfId="0" applyFont="1" applyFill="1" applyBorder="1" applyAlignment="1" applyProtection="1">
      <alignment horizontal="center"/>
    </xf>
    <xf numFmtId="1" fontId="0" fillId="8" borderId="0" xfId="0" applyNumberFormat="1" applyFill="1" applyBorder="1" applyAlignment="1" applyProtection="1">
      <alignment horizontal="center"/>
    </xf>
    <xf numFmtId="164" fontId="0" fillId="0" borderId="0" xfId="0" applyNumberFormat="1" applyFill="1" applyBorder="1" applyAlignment="1" applyProtection="1">
      <alignment horizontal="center"/>
    </xf>
    <xf numFmtId="164" fontId="0" fillId="0" borderId="0" xfId="0" applyNumberFormat="1" applyBorder="1" applyProtection="1"/>
    <xf numFmtId="168" fontId="0" fillId="0" borderId="0" xfId="0" applyNumberFormat="1" applyBorder="1" applyProtection="1"/>
    <xf numFmtId="0" fontId="2" fillId="0" borderId="1" xfId="0" applyFont="1" applyFill="1" applyBorder="1" applyAlignment="1" applyProtection="1">
      <alignment horizontal="center"/>
    </xf>
    <xf numFmtId="0" fontId="5" fillId="0" borderId="11" xfId="0" applyFont="1" applyBorder="1" applyAlignment="1" applyProtection="1"/>
    <xf numFmtId="0" fontId="5" fillId="0" borderId="23" xfId="0" applyFont="1" applyBorder="1" applyAlignment="1" applyProtection="1"/>
    <xf numFmtId="0" fontId="2" fillId="0" borderId="17" xfId="0" applyFont="1" applyFill="1" applyBorder="1" applyAlignment="1" applyProtection="1">
      <alignment horizontal="center"/>
    </xf>
    <xf numFmtId="0" fontId="5" fillId="0" borderId="39" xfId="0" applyFont="1" applyBorder="1" applyAlignment="1" applyProtection="1"/>
    <xf numFmtId="0" fontId="2" fillId="0" borderId="40" xfId="0" applyFont="1" applyBorder="1" applyProtection="1"/>
    <xf numFmtId="0" fontId="5" fillId="0" borderId="40" xfId="0" applyFont="1" applyBorder="1" applyProtection="1"/>
    <xf numFmtId="0" fontId="2" fillId="0" borderId="20" xfId="0" applyFont="1" applyFill="1" applyBorder="1" applyAlignment="1" applyProtection="1">
      <alignment horizontal="center"/>
    </xf>
    <xf numFmtId="0" fontId="2" fillId="0" borderId="19" xfId="0" applyFont="1" applyBorder="1" applyProtection="1"/>
    <xf numFmtId="165" fontId="0" fillId="0" borderId="19" xfId="0" applyNumberFormat="1" applyFill="1" applyBorder="1" applyProtection="1"/>
    <xf numFmtId="166" fontId="0" fillId="4" borderId="21" xfId="0" applyNumberFormat="1" applyFill="1" applyBorder="1" applyProtection="1">
      <protection locked="0"/>
    </xf>
    <xf numFmtId="0" fontId="3" fillId="3" borderId="14" xfId="0" applyFont="1" applyFill="1" applyBorder="1" applyProtection="1"/>
    <xf numFmtId="0" fontId="3" fillId="3" borderId="15" xfId="0" applyFont="1" applyFill="1" applyBorder="1" applyProtection="1"/>
    <xf numFmtId="0" fontId="0" fillId="5" borderId="28" xfId="0" applyFill="1" applyBorder="1" applyProtection="1">
      <protection locked="0"/>
    </xf>
    <xf numFmtId="0" fontId="0" fillId="0" borderId="41" xfId="0" applyBorder="1" applyProtection="1"/>
    <xf numFmtId="0" fontId="2" fillId="0" borderId="14" xfId="0" applyFont="1" applyBorder="1" applyAlignment="1" applyProtection="1">
      <alignment horizontal="left"/>
    </xf>
    <xf numFmtId="1" fontId="0" fillId="0" borderId="1" xfId="0" applyNumberFormat="1" applyBorder="1" applyAlignment="1" applyProtection="1">
      <alignment horizontal="center"/>
    </xf>
    <xf numFmtId="1" fontId="2" fillId="8" borderId="1" xfId="0" applyNumberFormat="1" applyFont="1" applyFill="1" applyBorder="1" applyAlignment="1" applyProtection="1">
      <alignment horizontal="center"/>
    </xf>
    <xf numFmtId="0" fontId="2" fillId="0" borderId="17" xfId="0" applyFont="1" applyFill="1" applyBorder="1" applyProtection="1"/>
    <xf numFmtId="0" fontId="0" fillId="0" borderId="1" xfId="0" applyFont="1" applyFill="1" applyBorder="1" applyProtection="1"/>
    <xf numFmtId="0" fontId="0" fillId="4" borderId="1" xfId="0" applyFill="1" applyBorder="1" applyAlignment="1" applyProtection="1">
      <alignment horizontal="center"/>
      <protection locked="0"/>
    </xf>
    <xf numFmtId="0" fontId="2" fillId="0" borderId="19" xfId="0" applyFont="1" applyBorder="1" applyAlignment="1" applyProtection="1">
      <alignment horizontal="left"/>
    </xf>
    <xf numFmtId="0" fontId="0" fillId="2" borderId="20" xfId="0" applyNumberFormat="1" applyFill="1" applyBorder="1" applyAlignment="1" applyProtection="1"/>
    <xf numFmtId="0" fontId="0" fillId="2" borderId="20" xfId="0" applyNumberFormat="1" applyFill="1" applyBorder="1" applyProtection="1"/>
    <xf numFmtId="0" fontId="2" fillId="0" borderId="1" xfId="0" applyFont="1" applyBorder="1" applyAlignment="1" applyProtection="1">
      <alignment horizontal="left"/>
    </xf>
    <xf numFmtId="0" fontId="0" fillId="8" borderId="1" xfId="0" applyFill="1" applyBorder="1" applyAlignment="1" applyProtection="1">
      <alignment horizontal="right"/>
    </xf>
    <xf numFmtId="0" fontId="15" fillId="0" borderId="11" xfId="0" applyFont="1" applyBorder="1" applyProtection="1"/>
    <xf numFmtId="0" fontId="15" fillId="0" borderId="11" xfId="0" applyFont="1" applyBorder="1" applyAlignment="1" applyProtection="1">
      <alignment horizontal="left"/>
    </xf>
    <xf numFmtId="0" fontId="15" fillId="0" borderId="0" xfId="0" applyFont="1" applyBorder="1" applyProtection="1"/>
    <xf numFmtId="0" fontId="15" fillId="0" borderId="17" xfId="0" applyFont="1" applyBorder="1" applyProtection="1"/>
    <xf numFmtId="0" fontId="15" fillId="0" borderId="11" xfId="0" applyFont="1" applyFill="1" applyBorder="1" applyAlignment="1" applyProtection="1">
      <alignment horizontal="center"/>
      <protection locked="0"/>
    </xf>
    <xf numFmtId="0" fontId="0" fillId="0" borderId="17" xfId="0" applyFill="1" applyBorder="1" applyAlignment="1" applyProtection="1">
      <alignment horizontal="left"/>
    </xf>
    <xf numFmtId="0" fontId="5" fillId="0" borderId="10" xfId="0" applyFont="1" applyBorder="1" applyProtection="1"/>
    <xf numFmtId="164" fontId="0" fillId="7" borderId="19" xfId="0" applyNumberFormat="1" applyFill="1" applyBorder="1" applyAlignment="1" applyProtection="1">
      <alignment horizontal="center"/>
      <protection locked="0"/>
    </xf>
    <xf numFmtId="164" fontId="0" fillId="7" borderId="1" xfId="0" applyNumberFormat="1" applyFill="1" applyBorder="1" applyAlignment="1" applyProtection="1">
      <alignment horizontal="center"/>
      <protection locked="0"/>
    </xf>
    <xf numFmtId="164" fontId="2" fillId="7" borderId="19" xfId="0" applyNumberFormat="1" applyFont="1" applyFill="1" applyBorder="1" applyAlignment="1" applyProtection="1">
      <alignment horizontal="center"/>
      <protection locked="0"/>
    </xf>
    <xf numFmtId="164" fontId="2" fillId="7" borderId="1" xfId="0" applyNumberFormat="1" applyFont="1" applyFill="1" applyBorder="1" applyAlignment="1" applyProtection="1">
      <alignment horizontal="center"/>
      <protection locked="0"/>
    </xf>
    <xf numFmtId="0" fontId="9" fillId="0" borderId="29" xfId="0" applyFont="1" applyBorder="1" applyAlignment="1">
      <alignment horizontal="center" vertical="center"/>
    </xf>
    <xf numFmtId="0" fontId="0" fillId="0" borderId="30" xfId="0" applyBorder="1"/>
    <xf numFmtId="0" fontId="0" fillId="0" borderId="31" xfId="0" applyBorder="1"/>
    <xf numFmtId="0" fontId="0" fillId="0" borderId="32" xfId="0" applyBorder="1"/>
    <xf numFmtId="0" fontId="0" fillId="0" borderId="0" xfId="0"/>
    <xf numFmtId="0" fontId="0" fillId="0" borderId="33" xfId="0" applyBorder="1"/>
    <xf numFmtId="0" fontId="0" fillId="0" borderId="34" xfId="0" applyBorder="1"/>
    <xf numFmtId="0" fontId="0" fillId="0" borderId="35" xfId="0" applyBorder="1"/>
    <xf numFmtId="0" fontId="0" fillId="0" borderId="36" xfId="0" applyBorder="1"/>
    <xf numFmtId="0" fontId="2" fillId="0" borderId="0" xfId="0" applyFont="1" applyAlignment="1">
      <alignment horizontal="center"/>
    </xf>
    <xf numFmtId="0" fontId="0" fillId="0" borderId="0" xfId="0" applyAlignment="1">
      <alignment horizontal="center"/>
    </xf>
    <xf numFmtId="168" fontId="0" fillId="0" borderId="1" xfId="0" applyNumberFormat="1" applyBorder="1" applyAlignment="1" applyProtection="1">
      <alignment horizontal="center"/>
    </xf>
    <xf numFmtId="0" fontId="2" fillId="0" borderId="1" xfId="0" applyFont="1" applyFill="1" applyBorder="1" applyAlignment="1" applyProtection="1">
      <alignment horizontal="center"/>
    </xf>
    <xf numFmtId="0" fontId="2" fillId="0" borderId="21" xfId="0" applyFont="1" applyBorder="1" applyAlignment="1" applyProtection="1">
      <alignment horizontal="center" vertical="center" textRotation="90" wrapText="1"/>
    </xf>
    <xf numFmtId="0" fontId="2" fillId="0" borderId="22" xfId="0" applyFont="1" applyBorder="1" applyAlignment="1" applyProtection="1">
      <alignment horizontal="center" vertical="center" textRotation="90" wrapText="1"/>
    </xf>
    <xf numFmtId="0" fontId="2" fillId="0" borderId="20" xfId="0" applyFont="1" applyBorder="1" applyAlignment="1" applyProtection="1">
      <alignment horizontal="center" vertical="center" textRotation="90" wrapText="1"/>
    </xf>
    <xf numFmtId="168" fontId="0" fillId="6" borderId="1" xfId="0" applyNumberFormat="1" applyFill="1" applyBorder="1" applyAlignment="1" applyProtection="1">
      <alignment horizontal="center"/>
      <protection locked="0"/>
    </xf>
    <xf numFmtId="0" fontId="2" fillId="0" borderId="17" xfId="0" applyFont="1" applyBorder="1" applyAlignment="1" applyProtection="1">
      <alignment horizontal="center"/>
    </xf>
    <xf numFmtId="0" fontId="2" fillId="0" borderId="19" xfId="0" applyFont="1" applyBorder="1" applyAlignment="1" applyProtection="1">
      <alignment horizontal="center"/>
    </xf>
    <xf numFmtId="0" fontId="0" fillId="0" borderId="21" xfId="0" applyBorder="1" applyAlignment="1" applyProtection="1">
      <alignment horizontal="center" vertical="center" textRotation="90" wrapText="1"/>
    </xf>
    <xf numFmtId="0" fontId="0" fillId="0" borderId="22" xfId="0" applyBorder="1" applyAlignment="1" applyProtection="1">
      <alignment horizontal="center" vertical="center" textRotation="90" wrapText="1"/>
    </xf>
    <xf numFmtId="0" fontId="0" fillId="0" borderId="20" xfId="0" applyBorder="1" applyAlignment="1" applyProtection="1">
      <alignment horizontal="center" vertical="center" textRotation="90" wrapText="1"/>
    </xf>
    <xf numFmtId="164" fontId="0" fillId="2" borderId="17" xfId="0" applyNumberFormat="1" applyFill="1" applyBorder="1" applyAlignment="1" applyProtection="1">
      <alignment horizontal="center"/>
    </xf>
    <xf numFmtId="164" fontId="0" fillId="2" borderId="19" xfId="0" applyNumberFormat="1" applyFill="1" applyBorder="1" applyAlignment="1" applyProtection="1">
      <alignment horizontal="center"/>
    </xf>
    <xf numFmtId="0" fontId="0" fillId="4" borderId="17" xfId="0" applyFill="1" applyBorder="1" applyAlignment="1" applyProtection="1">
      <alignment horizontal="left"/>
      <protection locked="0"/>
    </xf>
    <xf numFmtId="0" fontId="0" fillId="4" borderId="19" xfId="0" applyFill="1" applyBorder="1" applyAlignment="1" applyProtection="1">
      <alignment horizontal="left"/>
      <protection locked="0"/>
    </xf>
    <xf numFmtId="0" fontId="4" fillId="0" borderId="3" xfId="0" applyFont="1" applyBorder="1" applyAlignment="1" applyProtection="1">
      <alignment horizontal="center"/>
    </xf>
    <xf numFmtId="167" fontId="0" fillId="4" borderId="17" xfId="0" applyNumberFormat="1" applyFill="1" applyBorder="1" applyAlignment="1" applyProtection="1">
      <alignment horizontal="center"/>
      <protection locked="0"/>
    </xf>
    <xf numFmtId="167" fontId="0" fillId="4" borderId="19" xfId="0" applyNumberFormat="1" applyFill="1" applyBorder="1" applyAlignment="1" applyProtection="1">
      <alignment horizontal="center"/>
      <protection locked="0"/>
    </xf>
    <xf numFmtId="0" fontId="0" fillId="4" borderId="17" xfId="0" applyFill="1" applyBorder="1" applyAlignment="1" applyProtection="1">
      <alignment horizontal="center"/>
      <protection locked="0"/>
    </xf>
    <xf numFmtId="0" fontId="0" fillId="4" borderId="19" xfId="0" applyFill="1" applyBorder="1" applyAlignment="1" applyProtection="1">
      <alignment horizontal="center"/>
      <protection locked="0"/>
    </xf>
    <xf numFmtId="0" fontId="11" fillId="0" borderId="1" xfId="0" applyFont="1" applyBorder="1" applyAlignment="1" applyProtection="1">
      <alignment horizontal="center"/>
    </xf>
    <xf numFmtId="0" fontId="11" fillId="0" borderId="1" xfId="0" applyFont="1" applyFill="1" applyBorder="1" applyAlignment="1" applyProtection="1">
      <alignment horizontal="center"/>
    </xf>
    <xf numFmtId="168" fontId="0" fillId="4" borderId="37" xfId="0" applyNumberFormat="1" applyFill="1" applyBorder="1" applyAlignment="1" applyProtection="1">
      <alignment horizontal="center"/>
      <protection locked="0"/>
    </xf>
    <xf numFmtId="168" fontId="0" fillId="4" borderId="38" xfId="0" applyNumberFormat="1" applyFill="1" applyBorder="1" applyAlignment="1" applyProtection="1">
      <alignment horizontal="center"/>
      <protection locked="0"/>
    </xf>
    <xf numFmtId="164" fontId="0" fillId="0" borderId="17" xfId="0" applyNumberFormat="1" applyBorder="1" applyAlignment="1" applyProtection="1">
      <alignment horizontal="center"/>
    </xf>
    <xf numFmtId="164" fontId="0" fillId="0" borderId="19" xfId="0" applyNumberFormat="1" applyBorder="1" applyAlignment="1" applyProtection="1">
      <alignment horizontal="center"/>
    </xf>
    <xf numFmtId="168" fontId="0" fillId="2" borderId="17" xfId="0" quotePrefix="1" applyNumberFormat="1" applyFill="1" applyBorder="1" applyAlignment="1" applyProtection="1">
      <alignment horizontal="center"/>
    </xf>
    <xf numFmtId="168" fontId="0" fillId="2" borderId="19" xfId="0" quotePrefix="1" applyNumberFormat="1" applyFill="1" applyBorder="1" applyAlignment="1" applyProtection="1">
      <alignment horizontal="center"/>
    </xf>
    <xf numFmtId="168" fontId="0" fillId="2" borderId="37" xfId="0" quotePrefix="1" applyNumberFormat="1" applyFill="1" applyBorder="1" applyAlignment="1" applyProtection="1">
      <alignment horizontal="center"/>
    </xf>
    <xf numFmtId="168" fontId="0" fillId="2" borderId="38" xfId="0" quotePrefix="1" applyNumberFormat="1" applyFill="1" applyBorder="1" applyAlignment="1" applyProtection="1">
      <alignment horizontal="center"/>
    </xf>
    <xf numFmtId="2" fontId="0" fillId="2" borderId="14" xfId="0" applyNumberFormat="1" applyFill="1" applyBorder="1" applyAlignment="1" applyProtection="1">
      <alignment horizontal="center"/>
    </xf>
    <xf numFmtId="2" fontId="0" fillId="2" borderId="19" xfId="0" applyNumberForma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52881603932561"/>
          <c:y val="6.2015738613351704E-2"/>
          <c:w val="0.86027077459289281"/>
          <c:h val="0.78682468365689973"/>
        </c:manualLayout>
      </c:layout>
      <c:barChart>
        <c:barDir val="col"/>
        <c:grouping val="clustered"/>
        <c:varyColors val="0"/>
        <c:ser>
          <c:idx val="0"/>
          <c:order val="0"/>
          <c:tx>
            <c:v>Before - L</c:v>
          </c:tx>
          <c:spPr>
            <a:pattFill prst="dkDnDiag">
              <a:fgClr>
                <a:srgbClr xmlns:mc="http://schemas.openxmlformats.org/markup-compatibility/2006" xmlns:a14="http://schemas.microsoft.com/office/drawing/2010/main" val="000080" mc:Ignorable="a14" a14:legacySpreadsheetColorIndex="1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rgbClr val="FFFFFF"/>
              </a:solid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Analysis!$R$5:$R$7</c:f>
              <c:strCache>
                <c:ptCount val="3"/>
                <c:pt idx="0">
                  <c:v>PC</c:v>
                </c:pt>
                <c:pt idx="1">
                  <c:v>MC</c:v>
                </c:pt>
                <c:pt idx="2">
                  <c:v>PT</c:v>
                </c:pt>
              </c:strCache>
            </c:strRef>
          </c:cat>
          <c:val>
            <c:numRef>
              <c:f>Analysis!$S$5:$S$7</c:f>
              <c:numCache>
                <c:formatCode>0.000</c:formatCode>
                <c:ptCount val="3"/>
                <c:pt idx="0">
                  <c:v>0</c:v>
                </c:pt>
                <c:pt idx="1">
                  <c:v>0.17226814010760122</c:v>
                </c:pt>
                <c:pt idx="2">
                  <c:v>8.4700580207224707E-2</c:v>
                </c:pt>
              </c:numCache>
            </c:numRef>
          </c:val>
          <c:extLst xmlns:c16r2="http://schemas.microsoft.com/office/drawing/2015/06/chart">
            <c:ext xmlns:c16="http://schemas.microsoft.com/office/drawing/2014/chart" uri="{C3380CC4-5D6E-409C-BE32-E72D297353CC}">
              <c16:uniqueId val="{00000000-29B9-405C-B649-CEDD6149D298}"/>
            </c:ext>
          </c:extLst>
        </c:ser>
        <c:ser>
          <c:idx val="1"/>
          <c:order val="1"/>
          <c:tx>
            <c:v>Before - R</c:v>
          </c:tx>
          <c:spPr>
            <a:pattFill prst="dkUp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80" mc:Ignorable="a14" a14:legacySpreadsheetColorIndex="32"/>
              </a:bgClr>
            </a:pattFill>
            <a:ln w="12700">
              <a:solidFill>
                <a:srgbClr val="000000"/>
              </a:solidFill>
              <a:prstDash val="solid"/>
            </a:ln>
          </c:spPr>
          <c:invertIfNegative val="0"/>
          <c:dLbls>
            <c:spPr>
              <a:solidFill>
                <a:srgbClr val="FFFFFF"/>
              </a:solid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Analysis!$R$5:$R$7</c:f>
              <c:strCache>
                <c:ptCount val="3"/>
                <c:pt idx="0">
                  <c:v>PC</c:v>
                </c:pt>
                <c:pt idx="1">
                  <c:v>MC</c:v>
                </c:pt>
                <c:pt idx="2">
                  <c:v>PT</c:v>
                </c:pt>
              </c:strCache>
            </c:strRef>
          </c:cat>
          <c:val>
            <c:numRef>
              <c:f>Analysis!$S$8:$S$10</c:f>
              <c:numCache>
                <c:formatCode>0.000</c:formatCode>
                <c:ptCount val="3"/>
                <c:pt idx="0">
                  <c:v>0</c:v>
                </c:pt>
                <c:pt idx="1">
                  <c:v>0.16421402391917705</c:v>
                </c:pt>
                <c:pt idx="2">
                  <c:v>3.3612847194299633E-2</c:v>
                </c:pt>
              </c:numCache>
            </c:numRef>
          </c:val>
          <c:extLst xmlns:c16r2="http://schemas.microsoft.com/office/drawing/2015/06/chart">
            <c:ext xmlns:c16="http://schemas.microsoft.com/office/drawing/2014/chart" uri="{C3380CC4-5D6E-409C-BE32-E72D297353CC}">
              <c16:uniqueId val="{00000001-29B9-405C-B649-CEDD6149D298}"/>
            </c:ext>
          </c:extLst>
        </c:ser>
        <c:ser>
          <c:idx val="2"/>
          <c:order val="2"/>
          <c:tx>
            <c:v>After - L</c:v>
          </c:tx>
          <c:spPr>
            <a:pattFill prst="dk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00FF" mc:Ignorable="a14" a14:legacySpreadsheetColorIndex="14"/>
              </a:bgClr>
            </a:pattFill>
            <a:ln w="12700">
              <a:solidFill>
                <a:srgbClr val="000000"/>
              </a:solidFill>
              <a:prstDash val="solid"/>
            </a:ln>
          </c:spPr>
          <c:invertIfNegative val="0"/>
          <c:dLbls>
            <c:spPr>
              <a:solidFill>
                <a:srgbClr val="FFFFFF"/>
              </a:solid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Analysis!$R$5:$R$7</c:f>
              <c:strCache>
                <c:ptCount val="3"/>
                <c:pt idx="0">
                  <c:v>PC</c:v>
                </c:pt>
                <c:pt idx="1">
                  <c:v>MC</c:v>
                </c:pt>
                <c:pt idx="2">
                  <c:v>PT</c:v>
                </c:pt>
              </c:strCache>
            </c:strRef>
          </c:cat>
          <c:val>
            <c:numRef>
              <c:f>Analysis!$T$5:$T$7</c:f>
              <c:numCache>
                <c:formatCode>0.000</c:formatCode>
                <c:ptCount val="3"/>
                <c:pt idx="0">
                  <c:v>9.3863682178897068E-2</c:v>
                </c:pt>
                <c:pt idx="1">
                  <c:v>0.30554263181327312</c:v>
                </c:pt>
                <c:pt idx="2">
                  <c:v>0.20976817885464832</c:v>
                </c:pt>
              </c:numCache>
            </c:numRef>
          </c:val>
          <c:extLst xmlns:c16r2="http://schemas.microsoft.com/office/drawing/2015/06/chart">
            <c:ext xmlns:c16="http://schemas.microsoft.com/office/drawing/2014/chart" uri="{C3380CC4-5D6E-409C-BE32-E72D297353CC}">
              <c16:uniqueId val="{00000002-29B9-405C-B649-CEDD6149D298}"/>
            </c:ext>
          </c:extLst>
        </c:ser>
        <c:ser>
          <c:idx val="3"/>
          <c:order val="3"/>
          <c:tx>
            <c:v>After - R</c:v>
          </c:tx>
          <c:spPr>
            <a:pattFill prst="dkUp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00FF" mc:Ignorable="a14" a14:legacySpreadsheetColorIndex="14"/>
              </a:bgClr>
            </a:pattFill>
            <a:ln w="12700">
              <a:solidFill>
                <a:srgbClr val="000000"/>
              </a:solidFill>
              <a:prstDash val="solid"/>
            </a:ln>
          </c:spPr>
          <c:invertIfNegative val="0"/>
          <c:dLbls>
            <c:spPr>
              <a:solidFill>
                <a:srgbClr val="FFFFFF"/>
              </a:solid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Analysis!$R$5:$R$7</c:f>
              <c:strCache>
                <c:ptCount val="3"/>
                <c:pt idx="0">
                  <c:v>PC</c:v>
                </c:pt>
                <c:pt idx="1">
                  <c:v>MC</c:v>
                </c:pt>
                <c:pt idx="2">
                  <c:v>PT</c:v>
                </c:pt>
              </c:strCache>
            </c:strRef>
          </c:cat>
          <c:val>
            <c:numRef>
              <c:f>Analysis!$T$8:$T$10</c:f>
              <c:numCache>
                <c:formatCode>0.000</c:formatCode>
                <c:ptCount val="3"/>
                <c:pt idx="0">
                  <c:v>0.1146408178770234</c:v>
                </c:pt>
                <c:pt idx="1">
                  <c:v>0.29586882845568224</c:v>
                </c:pt>
                <c:pt idx="2">
                  <c:v>0.15500563374326337</c:v>
                </c:pt>
              </c:numCache>
            </c:numRef>
          </c:val>
          <c:extLst xmlns:c16r2="http://schemas.microsoft.com/office/drawing/2015/06/chart">
            <c:ext xmlns:c16="http://schemas.microsoft.com/office/drawing/2014/chart" uri="{C3380CC4-5D6E-409C-BE32-E72D297353CC}">
              <c16:uniqueId val="{00000003-29B9-405C-B649-CEDD6149D298}"/>
            </c:ext>
          </c:extLst>
        </c:ser>
        <c:ser>
          <c:idx val="4"/>
          <c:order val="4"/>
          <c:tx>
            <c:v>Terminal - L</c:v>
          </c:tx>
          <c:spPr>
            <a:pattFill prst="dkDnDiag">
              <a:fgClr>
                <a:srgbClr val="FFC000"/>
              </a:fgClr>
              <a:bgClr>
                <a:schemeClr val="bg1"/>
              </a:bgClr>
            </a:pattFill>
            <a:ln>
              <a:solidFill>
                <a:schemeClr val="tx1"/>
              </a:solidFill>
            </a:ln>
          </c:spPr>
          <c:invertIfNegative val="0"/>
          <c:dLbls>
            <c:spPr>
              <a:solidFill>
                <a:schemeClr val="bg1"/>
              </a:solidFill>
            </c:spPr>
            <c:txPr>
              <a:bodyPr rot="-5400000" vert="horz"/>
              <a:lstStyle/>
              <a:p>
                <a:pPr>
                  <a:defRPr sz="1000"/>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Analysis!$R$5:$R$7</c:f>
              <c:strCache>
                <c:ptCount val="3"/>
                <c:pt idx="0">
                  <c:v>PC</c:v>
                </c:pt>
                <c:pt idx="1">
                  <c:v>MC</c:v>
                </c:pt>
                <c:pt idx="2">
                  <c:v>PT</c:v>
                </c:pt>
              </c:strCache>
            </c:strRef>
          </c:cat>
          <c:val>
            <c:numRef>
              <c:f>Analysis!$U$5:$U$7</c:f>
              <c:numCache>
                <c:formatCode>0.000</c:formatCode>
                <c:ptCount val="3"/>
                <c:pt idx="0">
                  <c:v>5.0193703620139696E-2</c:v>
                </c:pt>
                <c:pt idx="1">
                  <c:v>0.25789938867464446</c:v>
                </c:pt>
                <c:pt idx="2">
                  <c:v>0.16479043540101895</c:v>
                </c:pt>
              </c:numCache>
            </c:numRef>
          </c:val>
          <c:extLst xmlns:c16r2="http://schemas.microsoft.com/office/drawing/2015/06/chart">
            <c:ext xmlns:c16="http://schemas.microsoft.com/office/drawing/2014/chart" uri="{C3380CC4-5D6E-409C-BE32-E72D297353CC}">
              <c16:uniqueId val="{00000004-29B9-405C-B649-CEDD6149D298}"/>
            </c:ext>
          </c:extLst>
        </c:ser>
        <c:ser>
          <c:idx val="5"/>
          <c:order val="5"/>
          <c:tx>
            <c:v>Terminal - R</c:v>
          </c:tx>
          <c:spPr>
            <a:pattFill prst="dkUpDiag">
              <a:fgClr>
                <a:srgbClr val="FFC000"/>
              </a:fgClr>
              <a:bgClr>
                <a:schemeClr val="bg1"/>
              </a:bgClr>
            </a:pattFill>
            <a:ln>
              <a:solidFill>
                <a:schemeClr val="tx1"/>
              </a:solidFill>
            </a:ln>
          </c:spPr>
          <c:invertIfNegative val="0"/>
          <c:dLbls>
            <c:spPr>
              <a:solidFill>
                <a:schemeClr val="bg1"/>
              </a:solidFill>
            </c:spPr>
            <c:txPr>
              <a:bodyPr rot="-5400000" vert="horz"/>
              <a:lstStyle/>
              <a:p>
                <a:pPr>
                  <a:defRPr sz="1000"/>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Analysis!$R$5:$R$7</c:f>
              <c:strCache>
                <c:ptCount val="3"/>
                <c:pt idx="0">
                  <c:v>PC</c:v>
                </c:pt>
                <c:pt idx="1">
                  <c:v>MC</c:v>
                </c:pt>
                <c:pt idx="2">
                  <c:v>PT</c:v>
                </c:pt>
              </c:strCache>
            </c:strRef>
          </c:cat>
          <c:val>
            <c:numRef>
              <c:f>Analysis!$U$8:$U$10</c:f>
              <c:numCache>
                <c:formatCode>0.000</c:formatCode>
                <c:ptCount val="3"/>
                <c:pt idx="0">
                  <c:v>7.1272262097753503E-2</c:v>
                </c:pt>
                <c:pt idx="1">
                  <c:v>0.24884518105963843</c:v>
                </c:pt>
                <c:pt idx="2">
                  <c:v>0.11121854830219491</c:v>
                </c:pt>
              </c:numCache>
            </c:numRef>
          </c:val>
          <c:extLst xmlns:c16r2="http://schemas.microsoft.com/office/drawing/2015/06/chart">
            <c:ext xmlns:c16="http://schemas.microsoft.com/office/drawing/2014/chart" uri="{C3380CC4-5D6E-409C-BE32-E72D297353CC}">
              <c16:uniqueId val="{00000005-29B9-405C-B649-CEDD6149D298}"/>
            </c:ext>
          </c:extLst>
        </c:ser>
        <c:dLbls>
          <c:showLegendKey val="0"/>
          <c:showVal val="0"/>
          <c:showCatName val="0"/>
          <c:showSerName val="0"/>
          <c:showPercent val="0"/>
          <c:showBubbleSize val="0"/>
        </c:dLbls>
        <c:gapWidth val="150"/>
        <c:axId val="250594432"/>
        <c:axId val="250603008"/>
      </c:barChart>
      <c:catAx>
        <c:axId val="250594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50603008"/>
        <c:crosses val="autoZero"/>
        <c:auto val="1"/>
        <c:lblAlgn val="ctr"/>
        <c:lblOffset val="100"/>
        <c:tickLblSkip val="1"/>
        <c:tickMarkSkip val="1"/>
        <c:noMultiLvlLbl val="0"/>
      </c:catAx>
      <c:valAx>
        <c:axId val="250603008"/>
        <c:scaling>
          <c:orientation val="minMax"/>
          <c:min val="0"/>
        </c:scaling>
        <c:delete val="0"/>
        <c:axPos val="l"/>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Margin of Safety</a:t>
                </a:r>
              </a:p>
            </c:rich>
          </c:tx>
          <c:layout>
            <c:manualLayout>
              <c:xMode val="edge"/>
              <c:yMode val="edge"/>
              <c:x val="8.4175711144215092E-3"/>
              <c:y val="0.20542711045581455"/>
            </c:manualLayout>
          </c:layout>
          <c:overlay val="0"/>
          <c:spPr>
            <a:noFill/>
            <a:ln w="25400">
              <a:noFill/>
            </a:ln>
          </c:spPr>
        </c:title>
        <c:numFmt formatCode="0.0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50594432"/>
        <c:crosses val="autoZero"/>
        <c:crossBetween val="between"/>
      </c:valAx>
      <c:spPr>
        <a:noFill/>
        <a:ln w="12700">
          <a:solidFill>
            <a:srgbClr val="808080"/>
          </a:solidFill>
          <a:prstDash val="solid"/>
        </a:ln>
      </c:spPr>
    </c:plotArea>
    <c:legend>
      <c:legendPos val="r"/>
      <c:layout>
        <c:manualLayout>
          <c:xMode val="edge"/>
          <c:yMode val="edge"/>
          <c:x val="0.13804727956302759"/>
          <c:y val="3.4883667430017459E-2"/>
          <c:w val="0.3478701142086969"/>
          <c:h val="0.2019278267507397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40567530068842"/>
          <c:y val="9.3009259259259264E-2"/>
          <c:w val="0.83644140442040704"/>
          <c:h val="0.70141987459900845"/>
        </c:manualLayout>
      </c:layout>
      <c:lineChart>
        <c:grouping val="standard"/>
        <c:varyColors val="0"/>
        <c:ser>
          <c:idx val="0"/>
          <c:order val="0"/>
          <c:spPr>
            <a:ln w="28575" cap="rnd">
              <a:solidFill>
                <a:schemeClr val="accent2">
                  <a:lumMod val="75000"/>
                </a:schemeClr>
              </a:solidFill>
              <a:round/>
            </a:ln>
            <a:effectLst/>
          </c:spPr>
          <c:marker>
            <c:symbol val="none"/>
          </c:marker>
          <c:cat>
            <c:numRef>
              <c:f>Analysis!$Q$116:$Q$136</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Analysis!$U$116:$U$136</c:f>
              <c:numCache>
                <c:formatCode>0.000</c:formatCode>
                <c:ptCount val="21"/>
                <c:pt idx="0">
                  <c:v>41.580900000000007</c:v>
                </c:pt>
                <c:pt idx="1">
                  <c:v>39.572615749703459</c:v>
                </c:pt>
                <c:pt idx="2">
                  <c:v>38.243982823462787</c:v>
                </c:pt>
                <c:pt idx="3">
                  <c:v>37.380977356263969</c:v>
                </c:pt>
                <c:pt idx="4">
                  <c:v>36.830900289106147</c:v>
                </c:pt>
                <c:pt idx="5">
                  <c:v>36.487024791881694</c:v>
                </c:pt>
                <c:pt idx="6">
                  <c:v>36.276304562079325</c:v>
                </c:pt>
                <c:pt idx="7">
                  <c:v>36.149804313411011</c:v>
                </c:pt>
                <c:pt idx="8">
                  <c:v>36.075450609566865</c:v>
                </c:pt>
                <c:pt idx="9">
                  <c:v>36.032686562971016</c:v>
                </c:pt>
                <c:pt idx="10">
                  <c:v>36.008634539738964</c:v>
                </c:pt>
                <c:pt idx="11">
                  <c:v>35.995414115716621</c:v>
                </c:pt>
                <c:pt idx="12">
                  <c:v>35.988317081497918</c:v>
                </c:pt>
                <c:pt idx="13">
                  <c:v>35.984598688683434</c:v>
                </c:pt>
                <c:pt idx="14">
                  <c:v>35.982698565577032</c:v>
                </c:pt>
                <c:pt idx="15">
                  <c:v>35.981752220490065</c:v>
                </c:pt>
                <c:pt idx="16">
                  <c:v>35.981293187768358</c:v>
                </c:pt>
                <c:pt idx="17">
                  <c:v>35.981076496867395</c:v>
                </c:pt>
                <c:pt idx="18">
                  <c:v>35.980977023086808</c:v>
                </c:pt>
                <c:pt idx="19">
                  <c:v>35.980932651322362</c:v>
                </c:pt>
                <c:pt idx="20">
                  <c:v>35.980913434343577</c:v>
                </c:pt>
              </c:numCache>
            </c:numRef>
          </c:val>
          <c:smooth val="0"/>
          <c:extLst xmlns:c16r2="http://schemas.microsoft.com/office/drawing/2015/06/chart">
            <c:ext xmlns:c16="http://schemas.microsoft.com/office/drawing/2014/chart" uri="{C3380CC4-5D6E-409C-BE32-E72D297353CC}">
              <c16:uniqueId val="{00000000-8FEC-4294-80CF-6F111ABA11D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349130752"/>
        <c:axId val="349132672"/>
      </c:lineChart>
      <c:catAx>
        <c:axId val="349130752"/>
        <c:scaling>
          <c:orientation val="minMax"/>
        </c:scaling>
        <c:delete val="0"/>
        <c:axPos val="b"/>
        <c:title>
          <c:tx>
            <c:rich>
              <a:bodyPr rot="0" vert="horz"/>
              <a:lstStyle/>
              <a:p>
                <a:pPr>
                  <a:defRPr sz="1200"/>
                </a:pPr>
                <a:r>
                  <a:rPr lang="en-US" sz="1200"/>
                  <a:t>Years after Construction</a:t>
                </a:r>
              </a:p>
            </c:rich>
          </c:tx>
          <c:layout/>
          <c:overlay val="0"/>
          <c:spPr>
            <a:noFill/>
            <a:ln w="25400">
              <a:noFill/>
            </a:ln>
          </c:spPr>
        </c:title>
        <c:numFmt formatCode="General" sourceLinked="1"/>
        <c:majorTickMark val="in"/>
        <c:minorTickMark val="none"/>
        <c:tickLblPos val="low"/>
        <c:spPr>
          <a:noFill/>
          <a:ln w="9525" cap="flat" cmpd="sng" algn="ctr">
            <a:solidFill>
              <a:schemeClr val="tx1"/>
            </a:solidFill>
            <a:round/>
          </a:ln>
          <a:effectLst/>
        </c:spPr>
        <c:txPr>
          <a:bodyPr rot="-60000000" vert="horz"/>
          <a:lstStyle/>
          <a:p>
            <a:pPr>
              <a:defRPr/>
            </a:pPr>
            <a:endParaRPr lang="en-US"/>
          </a:p>
        </c:txPr>
        <c:crossAx val="349132672"/>
        <c:crosses val="autoZero"/>
        <c:auto val="1"/>
        <c:lblAlgn val="ctr"/>
        <c:lblOffset val="100"/>
        <c:noMultiLvlLbl val="0"/>
      </c:catAx>
      <c:valAx>
        <c:axId val="349132672"/>
        <c:scaling>
          <c:orientation val="minMax"/>
        </c:scaling>
        <c:delete val="0"/>
        <c:axPos val="l"/>
        <c:majorGridlines>
          <c:spPr>
            <a:ln w="9525" cap="flat" cmpd="sng" algn="ctr">
              <a:solidFill>
                <a:schemeClr val="tx1"/>
              </a:solidFill>
              <a:prstDash val="dash"/>
              <a:round/>
            </a:ln>
            <a:effectLst/>
          </c:spPr>
        </c:majorGridlines>
        <c:title>
          <c:tx>
            <c:rich>
              <a:bodyPr rot="-5400000" vert="horz"/>
              <a:lstStyle/>
              <a:p>
                <a:pPr>
                  <a:defRPr sz="1200"/>
                </a:pPr>
                <a:r>
                  <a:rPr lang="en-US" sz="1200"/>
                  <a:t>Skid Number (</a:t>
                </a:r>
                <a:r>
                  <a:rPr lang="en-US" sz="1200" i="1"/>
                  <a:t>SK</a:t>
                </a:r>
                <a:r>
                  <a:rPr lang="en-US" sz="1200" i="1" baseline="-25000"/>
                  <a:t>50S</a:t>
                </a:r>
                <a:r>
                  <a:rPr lang="en-US" sz="1200"/>
                  <a:t>)</a:t>
                </a:r>
              </a:p>
            </c:rich>
          </c:tx>
          <c:layout>
            <c:manualLayout>
              <c:xMode val="edge"/>
              <c:yMode val="edge"/>
              <c:x val="1.6415776310789436E-2"/>
              <c:y val="0.19647788002403313"/>
            </c:manualLayout>
          </c:layout>
          <c:overlay val="0"/>
          <c:spPr>
            <a:noFill/>
            <a:ln w="25400">
              <a:noFill/>
            </a:ln>
          </c:spPr>
        </c:title>
        <c:numFmt formatCode="#,##0.0" sourceLinked="0"/>
        <c:majorTickMark val="in"/>
        <c:minorTickMark val="none"/>
        <c:tickLblPos val="nextTo"/>
        <c:spPr>
          <a:noFill/>
          <a:ln>
            <a:solidFill>
              <a:schemeClr val="tx1"/>
            </a:solidFill>
          </a:ln>
          <a:effectLst/>
        </c:spPr>
        <c:txPr>
          <a:bodyPr rot="-60000000" vert="horz"/>
          <a:lstStyle/>
          <a:p>
            <a:pPr>
              <a:defRPr/>
            </a:pPr>
            <a:endParaRPr lang="en-US"/>
          </a:p>
        </c:txPr>
        <c:crossAx val="349130752"/>
        <c:crosses val="autoZero"/>
        <c:crossBetween val="midCat"/>
      </c:valAx>
      <c:spPr>
        <a:noFill/>
        <a:ln>
          <a:solidFill>
            <a:schemeClr val="bg1">
              <a:lumMod val="50000"/>
            </a:schemeClr>
          </a:solid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1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0</xdr:colOff>
      <xdr:row>12</xdr:row>
      <xdr:rowOff>38099</xdr:rowOff>
    </xdr:from>
    <xdr:to>
      <xdr:col>25</xdr:col>
      <xdr:colOff>0</xdr:colOff>
      <xdr:row>28</xdr:row>
      <xdr:rowOff>161924</xdr:rowOff>
    </xdr:to>
    <xdr:graphicFrame macro="">
      <xdr:nvGraphicFramePr>
        <xdr:cNvPr id="1342" name="Chart 77">
          <a:extLst>
            <a:ext uri="{FF2B5EF4-FFF2-40B4-BE49-F238E27FC236}">
              <a16:creationId xmlns="" xmlns:a16="http://schemas.microsoft.com/office/drawing/2014/main" id="{00000000-0008-0000-0100-00003E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31</xdr:row>
      <xdr:rowOff>38100</xdr:rowOff>
    </xdr:from>
    <xdr:to>
      <xdr:col>25</xdr:col>
      <xdr:colOff>1</xdr:colOff>
      <xdr:row>50</xdr:row>
      <xdr:rowOff>123825</xdr:rowOff>
    </xdr:to>
    <xdr:graphicFrame macro="">
      <xdr:nvGraphicFramePr>
        <xdr:cNvPr id="1343" name="Chart 1">
          <a:extLst>
            <a:ext uri="{FF2B5EF4-FFF2-40B4-BE49-F238E27FC236}">
              <a16:creationId xmlns="" xmlns:a16="http://schemas.microsoft.com/office/drawing/2014/main" id="{00000000-0008-0000-0100-00003F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bonneson/My%20Documents/My%20Pictures/Band%20graph%20V%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Analysis"/>
      <sheetName val="Temp"/>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M56"/>
  <sheetViews>
    <sheetView showGridLines="0" tabSelected="1" workbookViewId="0"/>
  </sheetViews>
  <sheetFormatPr defaultRowHeight="12.75"/>
  <cols>
    <col min="1" max="1" width="3.5703125" customWidth="1"/>
  </cols>
  <sheetData>
    <row r="1" spans="2:13" ht="13.5" thickBot="1"/>
    <row r="2" spans="2:13" ht="13.5" customHeight="1" thickTop="1">
      <c r="B2" s="197" t="s">
        <v>101</v>
      </c>
      <c r="C2" s="198"/>
      <c r="D2" s="198"/>
      <c r="E2" s="198"/>
      <c r="F2" s="198"/>
      <c r="G2" s="198"/>
      <c r="H2" s="198"/>
      <c r="I2" s="198"/>
      <c r="J2" s="198"/>
      <c r="K2" s="198"/>
      <c r="L2" s="198"/>
      <c r="M2" s="199"/>
    </row>
    <row r="3" spans="2:13" ht="33.75" customHeight="1">
      <c r="B3" s="200"/>
      <c r="C3" s="201"/>
      <c r="D3" s="201"/>
      <c r="E3" s="201"/>
      <c r="F3" s="201"/>
      <c r="G3" s="201"/>
      <c r="H3" s="201"/>
      <c r="I3" s="201"/>
      <c r="J3" s="201"/>
      <c r="K3" s="201"/>
      <c r="L3" s="201"/>
      <c r="M3" s="202"/>
    </row>
    <row r="4" spans="2:13" ht="13.5" customHeight="1" thickBot="1">
      <c r="B4" s="203"/>
      <c r="C4" s="204"/>
      <c r="D4" s="204"/>
      <c r="E4" s="204"/>
      <c r="F4" s="204"/>
      <c r="G4" s="204"/>
      <c r="H4" s="204"/>
      <c r="I4" s="204"/>
      <c r="J4" s="204"/>
      <c r="K4" s="204"/>
      <c r="L4" s="204"/>
      <c r="M4" s="205"/>
    </row>
    <row r="5" spans="2:13" ht="13.5" thickTop="1"/>
    <row r="6" spans="2:13">
      <c r="B6" s="206" t="s">
        <v>190</v>
      </c>
      <c r="C6" s="207"/>
      <c r="D6" s="207"/>
      <c r="E6" s="207"/>
      <c r="F6" s="207"/>
      <c r="G6" s="207"/>
      <c r="H6" s="207"/>
      <c r="I6" s="207"/>
      <c r="J6" s="207"/>
      <c r="K6" s="207"/>
      <c r="L6" s="207"/>
      <c r="M6" s="207"/>
    </row>
    <row r="7" spans="2:13">
      <c r="B7" s="206" t="s">
        <v>289</v>
      </c>
      <c r="C7" s="207"/>
      <c r="D7" s="207"/>
      <c r="E7" s="207"/>
      <c r="F7" s="207"/>
      <c r="G7" s="207"/>
      <c r="H7" s="207"/>
      <c r="I7" s="207"/>
      <c r="J7" s="207"/>
      <c r="K7" s="207"/>
      <c r="L7" s="207"/>
      <c r="M7" s="207"/>
    </row>
    <row r="8" spans="2:13">
      <c r="B8" s="5" t="s">
        <v>89</v>
      </c>
    </row>
    <row r="9" spans="2:13">
      <c r="B9" t="s">
        <v>102</v>
      </c>
    </row>
    <row r="10" spans="2:13">
      <c r="B10" t="s">
        <v>112</v>
      </c>
    </row>
    <row r="11" spans="2:13" s="139" customFormat="1">
      <c r="C11" s="7"/>
    </row>
    <row r="12" spans="2:13" s="139" customFormat="1">
      <c r="B12" s="7" t="s">
        <v>297</v>
      </c>
      <c r="C12" s="7"/>
    </row>
    <row r="13" spans="2:13" s="139" customFormat="1"/>
    <row r="14" spans="2:13" s="139" customFormat="1">
      <c r="C14" s="7" t="s">
        <v>295</v>
      </c>
    </row>
    <row r="15" spans="2:13" s="139" customFormat="1">
      <c r="C15" s="6" t="s">
        <v>296</v>
      </c>
    </row>
    <row r="16" spans="2:13" s="139" customFormat="1">
      <c r="C16" s="7" t="s">
        <v>292</v>
      </c>
    </row>
    <row r="18" spans="2:3">
      <c r="B18" s="7" t="s">
        <v>298</v>
      </c>
    </row>
    <row r="19" spans="2:3">
      <c r="B19" s="7" t="s">
        <v>299</v>
      </c>
    </row>
    <row r="20" spans="2:3" s="139" customFormat="1"/>
    <row r="21" spans="2:3" s="139" customFormat="1">
      <c r="C21" s="7" t="s">
        <v>291</v>
      </c>
    </row>
    <row r="22" spans="2:3" s="139" customFormat="1">
      <c r="C22" s="6" t="s">
        <v>290</v>
      </c>
    </row>
    <row r="23" spans="2:3" s="139" customFormat="1">
      <c r="C23" s="7" t="s">
        <v>292</v>
      </c>
    </row>
    <row r="25" spans="2:3">
      <c r="C25" t="s">
        <v>114</v>
      </c>
    </row>
    <row r="26" spans="2:3">
      <c r="C26" s="6" t="s">
        <v>115</v>
      </c>
    </row>
    <row r="27" spans="2:3">
      <c r="C27" t="s">
        <v>113</v>
      </c>
    </row>
    <row r="29" spans="2:3">
      <c r="B29" s="7" t="s">
        <v>294</v>
      </c>
    </row>
    <row r="30" spans="2:3">
      <c r="B30" s="7" t="s">
        <v>293</v>
      </c>
    </row>
    <row r="32" spans="2:3">
      <c r="B32" s="5" t="s">
        <v>90</v>
      </c>
    </row>
    <row r="33" spans="2:3">
      <c r="B33" s="7"/>
    </row>
    <row r="34" spans="2:3">
      <c r="B34" s="7" t="s">
        <v>103</v>
      </c>
    </row>
    <row r="35" spans="2:3">
      <c r="B35" s="7" t="s">
        <v>104</v>
      </c>
    </row>
    <row r="36" spans="2:3">
      <c r="B36" s="7"/>
    </row>
    <row r="37" spans="2:3">
      <c r="B37" s="8" t="s">
        <v>91</v>
      </c>
      <c r="C37" s="7"/>
    </row>
    <row r="38" spans="2:3">
      <c r="B38" s="7"/>
      <c r="C38" s="7" t="s">
        <v>107</v>
      </c>
    </row>
    <row r="39" spans="2:3">
      <c r="B39" s="11" t="s">
        <v>108</v>
      </c>
    </row>
    <row r="40" spans="2:3">
      <c r="C40" t="s">
        <v>109</v>
      </c>
    </row>
    <row r="41" spans="2:3">
      <c r="B41" s="9" t="s">
        <v>92</v>
      </c>
    </row>
    <row r="42" spans="2:3">
      <c r="C42" t="s">
        <v>93</v>
      </c>
    </row>
    <row r="43" spans="2:3">
      <c r="C43" t="s">
        <v>94</v>
      </c>
    </row>
    <row r="44" spans="2:3">
      <c r="B44" s="12" t="s">
        <v>105</v>
      </c>
    </row>
    <row r="45" spans="2:3">
      <c r="B45" s="10" t="s">
        <v>106</v>
      </c>
    </row>
    <row r="47" spans="2:3">
      <c r="B47" s="5" t="s">
        <v>95</v>
      </c>
    </row>
    <row r="48" spans="2:3">
      <c r="B48" t="s">
        <v>96</v>
      </c>
    </row>
    <row r="49" spans="2:2">
      <c r="B49" t="s">
        <v>97</v>
      </c>
    </row>
    <row r="50" spans="2:2">
      <c r="B50" t="s">
        <v>98</v>
      </c>
    </row>
    <row r="52" spans="2:2">
      <c r="B52" s="13" t="s">
        <v>116</v>
      </c>
    </row>
    <row r="53" spans="2:2">
      <c r="B53" t="s">
        <v>99</v>
      </c>
    </row>
    <row r="54" spans="2:2">
      <c r="B54" t="s">
        <v>110</v>
      </c>
    </row>
    <row r="55" spans="2:2">
      <c r="B55" t="s">
        <v>111</v>
      </c>
    </row>
    <row r="56" spans="2:2">
      <c r="B56" t="s">
        <v>100</v>
      </c>
    </row>
  </sheetData>
  <sheetProtection password="C797" sheet="1" objects="1" scenarios="1"/>
  <mergeCells count="3">
    <mergeCell ref="B2:M4"/>
    <mergeCell ref="B6:M6"/>
    <mergeCell ref="B7:M7"/>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E165"/>
  <sheetViews>
    <sheetView showGridLines="0" zoomScaleNormal="100" zoomScaleSheetLayoutView="100" workbookViewId="0">
      <selection activeCell="E6" sqref="E6"/>
    </sheetView>
  </sheetViews>
  <sheetFormatPr defaultRowHeight="12.75"/>
  <cols>
    <col min="1" max="1" width="0.7109375" style="19" customWidth="1"/>
    <col min="2" max="2" width="0.5703125" style="19" customWidth="1"/>
    <col min="3" max="7" width="9.28515625" style="19" customWidth="1"/>
    <col min="8" max="8" width="1.42578125" style="19" customWidth="1"/>
    <col min="9" max="12" width="9.28515625" style="19" customWidth="1"/>
    <col min="13" max="16" width="0.7109375" style="19" customWidth="1"/>
    <col min="17" max="25" width="9.42578125" style="19" customWidth="1"/>
    <col min="26" max="27" width="0.7109375" style="19" customWidth="1"/>
    <col min="28" max="28" width="3.5703125" style="19" customWidth="1"/>
    <col min="29" max="29" width="21" style="19" customWidth="1"/>
    <col min="30" max="30" width="11.5703125" style="19" customWidth="1"/>
    <col min="31" max="31" width="13.28515625" style="19" customWidth="1"/>
    <col min="32" max="32" width="26.140625" style="19" customWidth="1"/>
    <col min="33" max="33" width="11" style="19" customWidth="1"/>
    <col min="34" max="34" width="2.42578125" style="19" customWidth="1"/>
    <col min="35" max="35" width="12.7109375" style="19" customWidth="1"/>
    <col min="36" max="36" width="9.85546875" style="19" customWidth="1"/>
    <col min="37" max="37" width="10.42578125" style="19" customWidth="1"/>
    <col min="38" max="38" width="10.28515625" style="19" customWidth="1"/>
    <col min="39" max="39" width="10.42578125" style="19" customWidth="1"/>
    <col min="40" max="40" width="2.28515625" style="19" customWidth="1"/>
    <col min="41" max="41" width="5" style="19" customWidth="1"/>
    <col min="42" max="42" width="8.5703125" style="19" customWidth="1"/>
    <col min="43" max="43" width="9.140625" style="19"/>
    <col min="44" max="45" width="9.140625" style="19" customWidth="1"/>
    <col min="46" max="16384" width="9.140625" style="19"/>
  </cols>
  <sheetData>
    <row r="1" spans="2:27" ht="3.75" customHeight="1" thickBot="1"/>
    <row r="2" spans="2:27">
      <c r="B2" s="20"/>
      <c r="C2" s="223" t="s">
        <v>39</v>
      </c>
      <c r="D2" s="223"/>
      <c r="E2" s="223"/>
      <c r="F2" s="223"/>
      <c r="G2" s="223"/>
      <c r="H2" s="223"/>
      <c r="I2" s="223"/>
      <c r="J2" s="223"/>
      <c r="K2" s="223"/>
      <c r="L2" s="223"/>
      <c r="M2" s="21"/>
      <c r="P2" s="20"/>
      <c r="Q2" s="223" t="s">
        <v>39</v>
      </c>
      <c r="R2" s="223"/>
      <c r="S2" s="223"/>
      <c r="T2" s="223"/>
      <c r="U2" s="223"/>
      <c r="V2" s="223"/>
      <c r="W2" s="223"/>
      <c r="X2" s="223"/>
      <c r="Y2" s="223"/>
      <c r="Z2" s="22"/>
      <c r="AA2" s="23"/>
    </row>
    <row r="3" spans="2:27" ht="12.75" customHeight="1">
      <c r="B3" s="24"/>
      <c r="C3" s="25" t="s">
        <v>30</v>
      </c>
      <c r="D3" s="26"/>
      <c r="E3" s="26"/>
      <c r="F3" s="26"/>
      <c r="G3" s="26"/>
      <c r="H3" s="26"/>
      <c r="I3" s="26"/>
      <c r="J3" s="26"/>
      <c r="K3" s="26"/>
      <c r="L3" s="27"/>
      <c r="M3" s="28"/>
      <c r="O3" s="29"/>
      <c r="P3" s="24"/>
      <c r="Q3" s="25" t="s">
        <v>274</v>
      </c>
      <c r="R3" s="26"/>
      <c r="S3" s="26"/>
      <c r="T3" s="26"/>
      <c r="U3" s="26"/>
      <c r="V3" s="26"/>
      <c r="W3" s="26"/>
      <c r="X3" s="26"/>
      <c r="Y3" s="27"/>
      <c r="Z3" s="30"/>
      <c r="AA3" s="29"/>
    </row>
    <row r="4" spans="2:27" ht="12.75" customHeight="1">
      <c r="B4" s="24"/>
      <c r="C4" s="31" t="s">
        <v>31</v>
      </c>
      <c r="D4" s="226"/>
      <c r="E4" s="227"/>
      <c r="F4" s="31" t="s">
        <v>37</v>
      </c>
      <c r="G4" s="32"/>
      <c r="H4" s="226"/>
      <c r="I4" s="227"/>
      <c r="J4" s="32" t="s">
        <v>33</v>
      </c>
      <c r="K4" s="224">
        <f ca="1">TODAY()</f>
        <v>43413</v>
      </c>
      <c r="L4" s="225"/>
      <c r="M4" s="28"/>
      <c r="O4" s="29"/>
      <c r="P4" s="24"/>
      <c r="Q4" s="221" t="s">
        <v>1</v>
      </c>
      <c r="R4" s="222"/>
      <c r="S4" s="33" t="s">
        <v>40</v>
      </c>
      <c r="T4" s="33" t="s">
        <v>41</v>
      </c>
      <c r="U4" s="33" t="s">
        <v>136</v>
      </c>
      <c r="V4" s="228" t="s">
        <v>171</v>
      </c>
      <c r="W4" s="228"/>
      <c r="X4" s="229" t="s">
        <v>172</v>
      </c>
      <c r="Y4" s="229"/>
      <c r="Z4" s="28"/>
      <c r="AA4" s="29"/>
    </row>
    <row r="5" spans="2:27" ht="12.75" customHeight="1">
      <c r="B5" s="24"/>
      <c r="C5" s="34" t="s">
        <v>32</v>
      </c>
      <c r="D5" s="226"/>
      <c r="E5" s="227"/>
      <c r="F5" s="34" t="s">
        <v>35</v>
      </c>
      <c r="G5" s="35"/>
      <c r="H5" s="226"/>
      <c r="I5" s="227"/>
      <c r="J5" s="35" t="s">
        <v>34</v>
      </c>
      <c r="K5" s="226"/>
      <c r="L5" s="227"/>
      <c r="M5" s="28"/>
      <c r="O5" s="29"/>
      <c r="P5" s="24"/>
      <c r="Q5" s="36" t="s">
        <v>82</v>
      </c>
      <c r="R5" s="37" t="s">
        <v>2</v>
      </c>
      <c r="S5" s="38">
        <f>IF($Q$4="Ideal",MAX(F142,0),MAX(F145,0))</f>
        <v>0</v>
      </c>
      <c r="T5" s="38">
        <f>IF($Q$4="Ideal",MAX(I142,0),MAX(I145,0))</f>
        <v>9.3863682178897068E-2</v>
      </c>
      <c r="U5" s="38">
        <f>IF($Q$4="Ideal",MAX(K142,0),MAX(K145,0))</f>
        <v>5.0193703620139696E-2</v>
      </c>
      <c r="V5" s="219" t="str">
        <f t="shared" ref="V5:V10" si="0">IF(T5&gt;=S5,"+ ", "- ")&amp;ROUND(ABS(T5-S5),3)</f>
        <v>+ 0.094</v>
      </c>
      <c r="W5" s="220"/>
      <c r="X5" s="219" t="str">
        <f>IF(U5&gt;=S5,"+ ", "- ")&amp;ROUND(ABS(U5-S5),3)</f>
        <v>+ 0.05</v>
      </c>
      <c r="Y5" s="220"/>
      <c r="Z5" s="28"/>
      <c r="AA5" s="29"/>
    </row>
    <row r="6" spans="2:27" ht="12.75" customHeight="1">
      <c r="B6" s="24"/>
      <c r="C6" s="39" t="s">
        <v>38</v>
      </c>
      <c r="D6" s="40"/>
      <c r="E6" s="1"/>
      <c r="F6" s="41" t="s">
        <v>36</v>
      </c>
      <c r="G6" s="40"/>
      <c r="H6" s="226"/>
      <c r="I6" s="227"/>
      <c r="J6" s="34" t="s">
        <v>67</v>
      </c>
      <c r="K6" s="42"/>
      <c r="L6" s="1" t="s">
        <v>68</v>
      </c>
      <c r="M6" s="28"/>
      <c r="O6" s="29"/>
      <c r="P6" s="24"/>
      <c r="Q6" s="43" t="s">
        <v>83</v>
      </c>
      <c r="R6" s="37" t="s">
        <v>11</v>
      </c>
      <c r="S6" s="38">
        <f>IF($Q$4="Ideal",MAX(F143,0),MAX(F146,0))</f>
        <v>0.17226814010760122</v>
      </c>
      <c r="T6" s="38">
        <f>IF($Q$4="Ideal",MAX(I143,0),MAX(I146,0))</f>
        <v>0.30554263181327312</v>
      </c>
      <c r="U6" s="38">
        <f>IF($Q$4="Ideal",MAX(K143,0),MAX(K146,0))</f>
        <v>0.25789938867464446</v>
      </c>
      <c r="V6" s="219" t="str">
        <f t="shared" si="0"/>
        <v>+ 0.133</v>
      </c>
      <c r="W6" s="220"/>
      <c r="X6" s="219" t="str">
        <f t="shared" ref="X6:X10" si="1">IF(U6&gt;=S6,"+ ", "- ")&amp;ROUND(ABS(U6-S6),3)</f>
        <v>+ 0.086</v>
      </c>
      <c r="Y6" s="220"/>
      <c r="Z6" s="28"/>
      <c r="AA6" s="29"/>
    </row>
    <row r="7" spans="2:27" ht="12.75" customHeight="1">
      <c r="B7" s="24"/>
      <c r="H7" s="32"/>
      <c r="M7" s="28"/>
      <c r="O7" s="29"/>
      <c r="P7" s="24"/>
      <c r="Q7" s="44" t="s">
        <v>71</v>
      </c>
      <c r="R7" s="37" t="s">
        <v>3</v>
      </c>
      <c r="S7" s="38">
        <f>IF($Q$4="Ideal",MAX(F144,0),MAX(F147,0))</f>
        <v>8.4700580207224707E-2</v>
      </c>
      <c r="T7" s="38">
        <f>IF($Q$4="Ideal",MAX(I144,0),MAX(I147,0))</f>
        <v>0.20976817885464832</v>
      </c>
      <c r="U7" s="38">
        <f>IF($Q$4="Ideal",MAX(K144,0),MAX(K147,0))</f>
        <v>0.16479043540101895</v>
      </c>
      <c r="V7" s="219" t="str">
        <f t="shared" si="0"/>
        <v>+ 0.125</v>
      </c>
      <c r="W7" s="220"/>
      <c r="X7" s="219" t="str">
        <f t="shared" si="1"/>
        <v>+ 0.08</v>
      </c>
      <c r="Y7" s="220"/>
      <c r="Z7" s="28"/>
      <c r="AA7" s="29"/>
    </row>
    <row r="8" spans="2:27">
      <c r="B8" s="24"/>
      <c r="C8" s="25" t="s">
        <v>133</v>
      </c>
      <c r="D8" s="26"/>
      <c r="E8" s="26"/>
      <c r="F8" s="26"/>
      <c r="G8" s="27"/>
      <c r="H8" s="56"/>
      <c r="I8" s="57" t="s">
        <v>29</v>
      </c>
      <c r="J8" s="58"/>
      <c r="K8" s="58"/>
      <c r="L8" s="59"/>
      <c r="M8" s="28"/>
      <c r="O8" s="29"/>
      <c r="P8" s="24"/>
      <c r="Q8" s="36" t="s">
        <v>82</v>
      </c>
      <c r="R8" s="37" t="s">
        <v>2</v>
      </c>
      <c r="S8" s="38">
        <f>IF($Q$4="Ideal",MAX(G142,0),MAX(G145,0))</f>
        <v>0</v>
      </c>
      <c r="T8" s="38">
        <f>IF($Q$4="Ideal",MAX(J142,0),MAX(J145,0))</f>
        <v>0.1146408178770234</v>
      </c>
      <c r="U8" s="38">
        <f>IF($Q$4="Ideal",MAX(L142,0),MAX(L145,0))</f>
        <v>7.1272262097753503E-2</v>
      </c>
      <c r="V8" s="219" t="str">
        <f t="shared" si="0"/>
        <v>+ 0.115</v>
      </c>
      <c r="W8" s="220"/>
      <c r="X8" s="219" t="str">
        <f t="shared" si="1"/>
        <v>+ 0.071</v>
      </c>
      <c r="Y8" s="220"/>
      <c r="Z8" s="28"/>
      <c r="AA8" s="29"/>
    </row>
    <row r="9" spans="2:27">
      <c r="B9" s="24"/>
      <c r="C9" s="47" t="s">
        <v>301</v>
      </c>
      <c r="D9" s="35"/>
      <c r="E9" s="35"/>
      <c r="F9" s="46"/>
      <c r="G9" s="1">
        <v>18000</v>
      </c>
      <c r="H9" s="56"/>
      <c r="I9" s="60" t="s">
        <v>62</v>
      </c>
      <c r="J9" s="35"/>
      <c r="K9" s="35"/>
      <c r="L9" s="46"/>
      <c r="M9" s="28"/>
      <c r="O9" s="29"/>
      <c r="P9" s="24"/>
      <c r="Q9" s="43" t="s">
        <v>83</v>
      </c>
      <c r="R9" s="37" t="s">
        <v>11</v>
      </c>
      <c r="S9" s="38">
        <f>IF($Q$4="Ideal",MAX(G143,0),MAX(G146,0))</f>
        <v>0.16421402391917705</v>
      </c>
      <c r="T9" s="38">
        <f>IF($Q$4="Ideal",MAX(J143,0),MAX(J146,0))</f>
        <v>0.29586882845568224</v>
      </c>
      <c r="U9" s="38">
        <f>IF($Q$4="Ideal",MAX(L143,0),MAX(L146,0))</f>
        <v>0.24884518105963843</v>
      </c>
      <c r="V9" s="219" t="str">
        <f t="shared" si="0"/>
        <v>+ 0.132</v>
      </c>
      <c r="W9" s="220"/>
      <c r="X9" s="219" t="str">
        <f t="shared" si="1"/>
        <v>+ 0.085</v>
      </c>
      <c r="Y9" s="220"/>
      <c r="Z9" s="28"/>
      <c r="AA9" s="29"/>
    </row>
    <row r="10" spans="2:27">
      <c r="B10" s="24"/>
      <c r="C10" s="48" t="s">
        <v>182</v>
      </c>
      <c r="D10" s="32"/>
      <c r="E10" s="32"/>
      <c r="F10" s="49"/>
      <c r="G10" s="17">
        <v>10</v>
      </c>
      <c r="H10" s="29"/>
      <c r="I10" s="31"/>
      <c r="J10" s="32"/>
      <c r="K10" s="61" t="s">
        <v>40</v>
      </c>
      <c r="L10" s="180" t="s">
        <v>41</v>
      </c>
      <c r="M10" s="28"/>
      <c r="O10" s="29"/>
      <c r="P10" s="24"/>
      <c r="Q10" s="44" t="s">
        <v>68</v>
      </c>
      <c r="R10" s="37" t="s">
        <v>3</v>
      </c>
      <c r="S10" s="38">
        <f>IF($Q$4="Ideal",MAX(G144,0),MAX(G147,0))</f>
        <v>3.3612847194299633E-2</v>
      </c>
      <c r="T10" s="38">
        <f>IF($Q$4="Ideal",MAX(J144,0),MAX(J147,0))</f>
        <v>0.15500563374326337</v>
      </c>
      <c r="U10" s="38">
        <f>IF($Q$4="Ideal",MAX(L144,0),MAX(L147,0))</f>
        <v>0.11121854830219491</v>
      </c>
      <c r="V10" s="219" t="str">
        <f t="shared" si="0"/>
        <v>+ 0.121</v>
      </c>
      <c r="W10" s="220"/>
      <c r="X10" s="219" t="str">
        <f t="shared" si="1"/>
        <v>+ 0.078</v>
      </c>
      <c r="Y10" s="220"/>
      <c r="Z10" s="28"/>
      <c r="AA10" s="29"/>
    </row>
    <row r="11" spans="2:27">
      <c r="B11" s="24"/>
      <c r="C11" s="47" t="s">
        <v>300</v>
      </c>
      <c r="D11" s="35"/>
      <c r="E11" s="35"/>
      <c r="F11" s="46"/>
      <c r="G11" s="17">
        <v>2</v>
      </c>
      <c r="H11" s="56"/>
      <c r="I11" s="34" t="s">
        <v>57</v>
      </c>
      <c r="J11" s="46"/>
      <c r="K11" s="62">
        <f ca="1">$G$41*$L$149/5280*$G64*$G$9^$G65*$D158*$E158*$F158*K24</f>
        <v>6.9740307752643709</v>
      </c>
      <c r="L11" s="62">
        <f ca="1">IF(ISBLANK(G43),I158,K158)</f>
        <v>6.4064670798625913</v>
      </c>
      <c r="M11" s="28"/>
      <c r="O11" s="29"/>
      <c r="P11" s="24"/>
      <c r="Z11" s="28"/>
      <c r="AA11" s="29"/>
    </row>
    <row r="12" spans="2:27">
      <c r="B12" s="24"/>
      <c r="C12" s="51" t="s">
        <v>195</v>
      </c>
      <c r="D12" s="35"/>
      <c r="E12" s="35"/>
      <c r="F12" s="46"/>
      <c r="G12" s="17" t="s">
        <v>191</v>
      </c>
      <c r="H12" s="56"/>
      <c r="I12" s="34" t="s">
        <v>58</v>
      </c>
      <c r="J12" s="46"/>
      <c r="K12" s="62">
        <f ca="1">$G$41*$L$149/5280*$G72*$G$9^$G73*$D159*$E159*$F159*K29</f>
        <v>0.43810976186489864</v>
      </c>
      <c r="L12" s="62">
        <f ca="1">IF(ISBLANK(G44),I159,K159)</f>
        <v>0.29439684456878379</v>
      </c>
      <c r="M12" s="28"/>
      <c r="O12" s="29"/>
      <c r="P12" s="24"/>
      <c r="Q12" s="25" t="s">
        <v>273</v>
      </c>
      <c r="R12" s="54"/>
      <c r="S12" s="54"/>
      <c r="T12" s="54"/>
      <c r="U12" s="54"/>
      <c r="V12" s="54"/>
      <c r="W12" s="54"/>
      <c r="X12" s="54"/>
      <c r="Y12" s="55"/>
      <c r="Z12" s="28"/>
      <c r="AA12" s="29"/>
    </row>
    <row r="13" spans="2:27">
      <c r="B13" s="24"/>
      <c r="C13" s="52" t="s">
        <v>22</v>
      </c>
      <c r="D13" s="35"/>
      <c r="E13" s="35"/>
      <c r="F13" s="46"/>
      <c r="G13" s="1">
        <v>500</v>
      </c>
      <c r="H13" s="56"/>
      <c r="I13" s="34" t="s">
        <v>59</v>
      </c>
      <c r="J13" s="46"/>
      <c r="K13" s="62">
        <f ca="1">$G$41*$L$149/5280*$G80*$G$9^$G81*$D160*$E160*$F160*K34</f>
        <v>7.0848644101139282</v>
      </c>
      <c r="L13" s="62">
        <f ca="1">IF(ISBLANK(G45),I160,K160)</f>
        <v>6.4142330476085263</v>
      </c>
      <c r="M13" s="28"/>
      <c r="O13" s="29"/>
      <c r="P13" s="24"/>
      <c r="Q13" s="29"/>
      <c r="R13" s="29"/>
      <c r="S13" s="29"/>
      <c r="T13" s="29"/>
      <c r="U13" s="29"/>
      <c r="V13" s="29"/>
      <c r="W13" s="29"/>
      <c r="X13" s="29"/>
      <c r="Y13" s="29"/>
      <c r="Z13" s="28"/>
      <c r="AA13" s="29"/>
    </row>
    <row r="14" spans="2:27">
      <c r="B14" s="24"/>
      <c r="C14" s="52" t="s">
        <v>7</v>
      </c>
      <c r="D14" s="35"/>
      <c r="E14" s="35"/>
      <c r="F14" s="46"/>
      <c r="G14" s="1">
        <v>40</v>
      </c>
      <c r="H14" s="56"/>
      <c r="I14" s="34" t="s">
        <v>60</v>
      </c>
      <c r="J14" s="35"/>
      <c r="K14" s="62">
        <f ca="1">$G$41*$L$149/5280*$G88*$G$9^$G89*$D161*$E161*$F161*K39</f>
        <v>0.40096838651945577</v>
      </c>
      <c r="L14" s="62">
        <f ca="1">IF(ISBLANK(G46),I161,K161)</f>
        <v>0.26710550483182049</v>
      </c>
      <c r="M14" s="28"/>
      <c r="O14" s="29"/>
      <c r="P14" s="24"/>
      <c r="Z14" s="28"/>
      <c r="AA14" s="29"/>
    </row>
    <row r="15" spans="2:27">
      <c r="B15" s="24"/>
      <c r="C15" s="52" t="s">
        <v>6</v>
      </c>
      <c r="D15" s="35"/>
      <c r="E15" s="35"/>
      <c r="F15" s="46"/>
      <c r="G15" s="2"/>
      <c r="H15" s="56"/>
      <c r="I15" s="60" t="s">
        <v>63</v>
      </c>
      <c r="J15" s="35"/>
      <c r="K15" s="35"/>
      <c r="L15" s="46"/>
      <c r="M15" s="28"/>
      <c r="O15" s="29"/>
      <c r="P15" s="24"/>
      <c r="Q15" s="29"/>
      <c r="R15" s="29"/>
      <c r="S15" s="29"/>
      <c r="T15" s="29"/>
      <c r="U15" s="29"/>
      <c r="V15" s="29"/>
      <c r="W15" s="29"/>
      <c r="X15" s="29"/>
      <c r="Y15" s="29"/>
      <c r="Z15" s="28"/>
      <c r="AA15" s="29"/>
    </row>
    <row r="16" spans="2:27">
      <c r="B16" s="24"/>
      <c r="C16" s="52" t="s">
        <v>8</v>
      </c>
      <c r="D16" s="35"/>
      <c r="E16" s="35"/>
      <c r="F16" s="46"/>
      <c r="G16" s="1">
        <v>70</v>
      </c>
      <c r="H16" s="45"/>
      <c r="I16" s="34" t="s">
        <v>57</v>
      </c>
      <c r="L16" s="71">
        <f ca="1">(L24-K24)/K24</f>
        <v>-9.8980248625719164E-2</v>
      </c>
      <c r="M16" s="28"/>
      <c r="O16" s="29"/>
      <c r="P16" s="24"/>
      <c r="Q16" s="29"/>
      <c r="R16" s="29"/>
      <c r="S16" s="29"/>
      <c r="T16" s="29"/>
      <c r="U16" s="29"/>
      <c r="V16" s="29"/>
      <c r="W16" s="29"/>
      <c r="X16" s="29"/>
      <c r="Y16" s="29"/>
      <c r="Z16" s="28"/>
      <c r="AA16" s="29"/>
    </row>
    <row r="17" spans="2:31">
      <c r="B17" s="24"/>
      <c r="C17" s="52" t="s">
        <v>9</v>
      </c>
      <c r="D17" s="35"/>
      <c r="E17" s="35"/>
      <c r="F17" s="46"/>
      <c r="G17" s="1">
        <v>45</v>
      </c>
      <c r="H17" s="45"/>
      <c r="I17" s="34" t="s">
        <v>58</v>
      </c>
      <c r="J17" s="35"/>
      <c r="K17" s="46"/>
      <c r="L17" s="71">
        <f ca="1">(L29-K29)/K29</f>
        <v>-0.35601136464643063</v>
      </c>
      <c r="M17" s="28"/>
      <c r="O17" s="29"/>
      <c r="P17" s="24"/>
      <c r="Q17" s="29"/>
      <c r="R17" s="29"/>
      <c r="S17" s="29"/>
      <c r="T17" s="29"/>
      <c r="U17" s="29"/>
      <c r="V17" s="29"/>
      <c r="W17" s="29"/>
      <c r="X17" s="29"/>
      <c r="Y17" s="29"/>
      <c r="Z17" s="28"/>
      <c r="AA17" s="29"/>
    </row>
    <row r="18" spans="2:31">
      <c r="B18" s="24"/>
      <c r="C18" s="52" t="s">
        <v>12</v>
      </c>
      <c r="D18" s="35"/>
      <c r="E18" s="35"/>
      <c r="F18" s="46"/>
      <c r="G18" s="1">
        <v>11</v>
      </c>
      <c r="H18" s="45"/>
      <c r="I18" s="34" t="s">
        <v>59</v>
      </c>
      <c r="L18" s="71">
        <f ca="1">(L34-K34)/K34</f>
        <v>-0.10935467969113019</v>
      </c>
      <c r="M18" s="28"/>
      <c r="O18" s="29"/>
      <c r="P18" s="24"/>
      <c r="Q18" s="29"/>
      <c r="R18" s="29"/>
      <c r="S18" s="29"/>
      <c r="T18" s="29"/>
      <c r="U18" s="29"/>
      <c r="V18" s="29"/>
      <c r="W18" s="29"/>
      <c r="X18" s="29"/>
      <c r="Y18" s="29"/>
      <c r="Z18" s="28"/>
      <c r="AA18" s="29"/>
    </row>
    <row r="19" spans="2:31">
      <c r="B19" s="24"/>
      <c r="C19" s="52" t="s">
        <v>17</v>
      </c>
      <c r="D19" s="35"/>
      <c r="E19" s="35"/>
      <c r="F19" s="46"/>
      <c r="G19" s="1">
        <v>2</v>
      </c>
      <c r="H19" s="45"/>
      <c r="I19" s="34" t="s">
        <v>60</v>
      </c>
      <c r="J19" s="35"/>
      <c r="K19" s="46"/>
      <c r="L19" s="71">
        <f ca="1">(L39-K39)/K39</f>
        <v>-0.35601136464643074</v>
      </c>
      <c r="M19" s="28"/>
      <c r="O19" s="29"/>
      <c r="P19" s="24"/>
      <c r="Q19" s="29"/>
      <c r="R19" s="29"/>
      <c r="S19" s="29"/>
      <c r="T19" s="29"/>
      <c r="U19" s="29"/>
      <c r="V19" s="29"/>
      <c r="W19" s="29"/>
      <c r="X19" s="29"/>
      <c r="Y19" s="29"/>
      <c r="Z19" s="28"/>
      <c r="AA19" s="29"/>
    </row>
    <row r="20" spans="2:31">
      <c r="B20" s="24"/>
      <c r="C20" s="31" t="s">
        <v>44</v>
      </c>
      <c r="D20" s="32"/>
      <c r="E20" s="49"/>
      <c r="F20" s="37" t="s">
        <v>2</v>
      </c>
      <c r="G20" s="1">
        <v>2</v>
      </c>
      <c r="H20" s="45"/>
      <c r="I20" s="75" t="s">
        <v>26</v>
      </c>
      <c r="J20" s="40"/>
      <c r="K20" s="40"/>
      <c r="L20" s="46"/>
      <c r="M20" s="28"/>
      <c r="O20" s="29"/>
      <c r="P20" s="24"/>
      <c r="Q20" s="29"/>
      <c r="R20" s="29"/>
      <c r="S20" s="29"/>
      <c r="T20" s="29"/>
      <c r="U20" s="29"/>
      <c r="V20" s="29"/>
      <c r="W20" s="29"/>
      <c r="X20" s="29"/>
      <c r="Y20" s="29"/>
      <c r="Z20" s="28"/>
      <c r="AA20" s="29"/>
    </row>
    <row r="21" spans="2:31">
      <c r="B21" s="24"/>
      <c r="C21" s="56" t="str">
        <f>"   (Deflection to "&amp;L6&amp;")"</f>
        <v xml:space="preserve">   (Deflection to Right)</v>
      </c>
      <c r="D21" s="29"/>
      <c r="E21" s="63"/>
      <c r="F21" s="37" t="s">
        <v>11</v>
      </c>
      <c r="G21" s="1">
        <v>0</v>
      </c>
      <c r="H21" s="45"/>
      <c r="I21" s="31" t="s">
        <v>70</v>
      </c>
      <c r="K21" s="232">
        <f ca="1">D158</f>
        <v>6.17882085573972</v>
      </c>
      <c r="L21" s="233"/>
      <c r="M21" s="28"/>
      <c r="O21" s="29"/>
      <c r="P21" s="24"/>
      <c r="Q21" s="29"/>
      <c r="R21" s="29"/>
      <c r="S21" s="29"/>
      <c r="T21" s="29"/>
      <c r="U21" s="29"/>
      <c r="V21" s="29"/>
      <c r="W21" s="29"/>
      <c r="X21" s="29"/>
      <c r="Y21" s="29"/>
      <c r="Z21" s="28"/>
      <c r="AA21" s="29"/>
      <c r="AD21" s="64"/>
    </row>
    <row r="22" spans="2:31">
      <c r="B22" s="24"/>
      <c r="C22" s="56"/>
      <c r="D22" s="29"/>
      <c r="E22" s="63"/>
      <c r="F22" s="36" t="s">
        <v>3</v>
      </c>
      <c r="G22" s="3">
        <v>-2</v>
      </c>
      <c r="H22" s="63"/>
      <c r="I22" s="47" t="s">
        <v>121</v>
      </c>
      <c r="J22" s="46"/>
      <c r="K22" s="232">
        <f ca="1">G158</f>
        <v>1.6323162199553789</v>
      </c>
      <c r="L22" s="233"/>
      <c r="M22" s="28"/>
      <c r="O22" s="29"/>
      <c r="P22" s="24"/>
      <c r="Q22" s="29"/>
      <c r="R22" s="29"/>
      <c r="S22" s="29"/>
      <c r="T22" s="29"/>
      <c r="U22" s="29"/>
      <c r="V22" s="29"/>
      <c r="W22" s="29"/>
      <c r="X22" s="29"/>
      <c r="Y22" s="29"/>
      <c r="Z22" s="28"/>
      <c r="AA22" s="29"/>
    </row>
    <row r="23" spans="2:31" ht="13.5" thickBot="1">
      <c r="B23" s="24"/>
      <c r="C23" s="47" t="s">
        <v>127</v>
      </c>
      <c r="D23" s="35"/>
      <c r="E23" s="35"/>
      <c r="F23" s="35"/>
      <c r="G23" s="3">
        <v>35</v>
      </c>
      <c r="H23" s="63"/>
      <c r="I23" s="52" t="s">
        <v>61</v>
      </c>
      <c r="J23" s="46"/>
      <c r="K23" s="76">
        <f ca="1">EXP($G69*(G32-$G$62))</f>
        <v>1.0941742837052104</v>
      </c>
      <c r="L23" s="76">
        <f>G151</f>
        <v>0.98587264106420047</v>
      </c>
      <c r="M23" s="28"/>
      <c r="O23" s="29"/>
      <c r="P23" s="24"/>
      <c r="Q23" s="29"/>
      <c r="R23" s="29"/>
      <c r="S23" s="29"/>
      <c r="T23" s="29"/>
      <c r="U23" s="29"/>
      <c r="V23" s="29"/>
      <c r="W23" s="29"/>
      <c r="X23" s="29"/>
      <c r="Y23" s="29"/>
      <c r="Z23" s="28"/>
      <c r="AA23" s="29"/>
    </row>
    <row r="24" spans="2:31" ht="12.75" customHeight="1" thickTop="1">
      <c r="B24" s="24"/>
      <c r="C24" s="65" t="s">
        <v>72</v>
      </c>
      <c r="D24" s="66"/>
      <c r="E24" s="67"/>
      <c r="F24" s="68" t="s">
        <v>40</v>
      </c>
      <c r="G24" s="68" t="s">
        <v>41</v>
      </c>
      <c r="H24" s="63"/>
      <c r="I24" s="51" t="s">
        <v>120</v>
      </c>
      <c r="J24" s="46"/>
      <c r="K24" s="76">
        <f ca="1">K23*K22</f>
        <v>1.7860384307500734</v>
      </c>
      <c r="L24" s="76">
        <f ca="1">K22*L23</f>
        <v>1.6092559028193418</v>
      </c>
      <c r="M24" s="28"/>
      <c r="O24" s="29"/>
      <c r="P24" s="24"/>
      <c r="Q24" s="29"/>
      <c r="R24" s="29"/>
      <c r="S24" s="29"/>
      <c r="T24" s="29"/>
      <c r="U24" s="29"/>
      <c r="V24" s="29"/>
      <c r="W24" s="29"/>
      <c r="X24" s="29"/>
      <c r="Y24" s="29"/>
      <c r="Z24" s="28"/>
      <c r="AA24" s="29"/>
    </row>
    <row r="25" spans="2:31" ht="12.75" customHeight="1">
      <c r="B25" s="24"/>
      <c r="C25" s="69" t="s">
        <v>73</v>
      </c>
      <c r="D25" s="70"/>
      <c r="E25" s="44" t="s">
        <v>2</v>
      </c>
      <c r="F25" s="2">
        <v>4.5</v>
      </c>
      <c r="G25" s="2">
        <v>6.5</v>
      </c>
      <c r="H25" s="63"/>
      <c r="I25" s="60" t="s">
        <v>25</v>
      </c>
      <c r="J25" s="35"/>
      <c r="K25" s="35"/>
      <c r="L25" s="46"/>
      <c r="M25" s="28"/>
      <c r="O25" s="29"/>
      <c r="P25" s="24"/>
      <c r="Q25" s="29"/>
      <c r="R25" s="29"/>
      <c r="S25" s="29"/>
      <c r="T25" s="29"/>
      <c r="U25" s="29"/>
      <c r="V25" s="29"/>
      <c r="W25" s="29"/>
      <c r="X25" s="29"/>
      <c r="Y25" s="29"/>
      <c r="Z25" s="28"/>
      <c r="AA25" s="29"/>
    </row>
    <row r="26" spans="2:31">
      <c r="B26" s="24"/>
      <c r="C26" s="72"/>
      <c r="D26" s="63"/>
      <c r="E26" s="37" t="s">
        <v>11</v>
      </c>
      <c r="F26" s="1">
        <v>6</v>
      </c>
      <c r="G26" s="1">
        <v>8</v>
      </c>
      <c r="H26" s="45"/>
      <c r="I26" s="31" t="s">
        <v>70</v>
      </c>
      <c r="K26" s="232">
        <f ca="1">D159</f>
        <v>1</v>
      </c>
      <c r="L26" s="233"/>
      <c r="M26" s="28"/>
      <c r="O26" s="29"/>
      <c r="P26" s="24"/>
      <c r="Q26" s="29"/>
      <c r="R26" s="29"/>
      <c r="S26" s="29"/>
      <c r="T26" s="29"/>
      <c r="U26" s="29"/>
      <c r="V26" s="29"/>
      <c r="W26" s="29"/>
      <c r="X26" s="29"/>
      <c r="Y26" s="29"/>
      <c r="Z26" s="28"/>
      <c r="AA26" s="29"/>
    </row>
    <row r="27" spans="2:31">
      <c r="B27" s="24"/>
      <c r="C27" s="41"/>
      <c r="D27" s="73"/>
      <c r="E27" s="37" t="s">
        <v>3</v>
      </c>
      <c r="F27" s="2">
        <v>4.5</v>
      </c>
      <c r="G27" s="2">
        <v>6.5</v>
      </c>
      <c r="H27" s="63"/>
      <c r="I27" s="47" t="s">
        <v>121</v>
      </c>
      <c r="J27" s="46"/>
      <c r="K27" s="232">
        <f ca="1">G159</f>
        <v>2.9594398187394915</v>
      </c>
      <c r="L27" s="233"/>
      <c r="M27" s="28"/>
      <c r="O27" s="29"/>
      <c r="P27" s="24"/>
      <c r="Q27" s="29"/>
      <c r="R27" s="29"/>
      <c r="S27" s="29"/>
      <c r="T27" s="29"/>
      <c r="U27" s="29"/>
      <c r="V27" s="29"/>
      <c r="W27" s="29"/>
      <c r="X27" s="29"/>
      <c r="Y27" s="29"/>
      <c r="Z27" s="28"/>
      <c r="AA27" s="29"/>
      <c r="AE27" s="74"/>
    </row>
    <row r="28" spans="2:31">
      <c r="B28" s="24"/>
      <c r="C28" s="69" t="s">
        <v>74</v>
      </c>
      <c r="D28" s="70"/>
      <c r="E28" s="37" t="s">
        <v>2</v>
      </c>
      <c r="F28" s="2">
        <v>6.5</v>
      </c>
      <c r="G28" s="2">
        <v>8.5</v>
      </c>
      <c r="H28" s="63"/>
      <c r="I28" s="52" t="s">
        <v>61</v>
      </c>
      <c r="J28" s="46"/>
      <c r="K28" s="76">
        <f ca="1">EXP($G77*(G32-$G$62))</f>
        <v>1.4622845894342245</v>
      </c>
      <c r="L28" s="76">
        <f>G152</f>
        <v>0.94169465724830059</v>
      </c>
      <c r="M28" s="28"/>
      <c r="O28" s="29"/>
      <c r="P28" s="24"/>
      <c r="Z28" s="28"/>
      <c r="AA28" s="29"/>
    </row>
    <row r="29" spans="2:31">
      <c r="B29" s="24"/>
      <c r="C29" s="72"/>
      <c r="D29" s="63"/>
      <c r="E29" s="36" t="s">
        <v>11</v>
      </c>
      <c r="F29" s="3">
        <v>8</v>
      </c>
      <c r="G29" s="3">
        <v>10</v>
      </c>
      <c r="H29" s="63"/>
      <c r="I29" s="51" t="s">
        <v>120</v>
      </c>
      <c r="J29" s="46"/>
      <c r="K29" s="76">
        <f ca="1">K28*K27</f>
        <v>4.3275432403007725</v>
      </c>
      <c r="L29" s="76">
        <f ca="1">K27*L28</f>
        <v>2.7868886657548582</v>
      </c>
      <c r="M29" s="28"/>
      <c r="O29" s="29"/>
      <c r="P29" s="24"/>
      <c r="Z29" s="28"/>
      <c r="AA29" s="29"/>
    </row>
    <row r="30" spans="2:31" ht="13.5" thickBot="1">
      <c r="B30" s="24"/>
      <c r="C30" s="153"/>
      <c r="D30" s="80"/>
      <c r="E30" s="77" t="s">
        <v>3</v>
      </c>
      <c r="F30" s="173">
        <v>6.5</v>
      </c>
      <c r="G30" s="173">
        <v>8.5</v>
      </c>
      <c r="H30" s="63"/>
      <c r="I30" s="60" t="s">
        <v>27</v>
      </c>
      <c r="J30" s="35"/>
      <c r="K30" s="35"/>
      <c r="L30" s="46"/>
      <c r="M30" s="28"/>
      <c r="O30" s="29"/>
      <c r="P30" s="24"/>
      <c r="Z30" s="28"/>
      <c r="AA30" s="29"/>
    </row>
    <row r="31" spans="2:31" ht="13.5" thickTop="1">
      <c r="B31" s="24"/>
      <c r="C31" s="171" t="s">
        <v>183</v>
      </c>
      <c r="D31" s="172"/>
      <c r="E31" s="172"/>
      <c r="F31" s="172"/>
      <c r="G31" s="82"/>
      <c r="H31" s="63"/>
      <c r="I31" s="31" t="s">
        <v>70</v>
      </c>
      <c r="K31" s="232">
        <f ca="1">D160</f>
        <v>7.8953963079231109</v>
      </c>
      <c r="L31" s="233"/>
      <c r="M31" s="28"/>
      <c r="O31" s="29"/>
      <c r="P31" s="24"/>
      <c r="Q31" s="25" t="s">
        <v>173</v>
      </c>
      <c r="R31" s="54"/>
      <c r="S31" s="54"/>
      <c r="T31" s="54"/>
      <c r="U31" s="54"/>
      <c r="V31" s="54"/>
      <c r="W31" s="54"/>
      <c r="X31" s="54"/>
      <c r="Y31" s="55"/>
      <c r="Z31" s="28"/>
      <c r="AA31" s="29"/>
    </row>
    <row r="32" spans="2:31">
      <c r="B32" s="24"/>
      <c r="C32" s="50" t="s">
        <v>275</v>
      </c>
      <c r="D32" s="35"/>
      <c r="E32" s="42"/>
      <c r="F32" s="169"/>
      <c r="G32" s="1">
        <v>30</v>
      </c>
      <c r="H32" s="63"/>
      <c r="I32" s="47" t="s">
        <v>121</v>
      </c>
      <c r="J32" s="46"/>
      <c r="K32" s="232">
        <f ca="1">G160</f>
        <v>1.6323162199553789</v>
      </c>
      <c r="L32" s="233"/>
      <c r="M32" s="28"/>
      <c r="O32" s="29"/>
      <c r="P32" s="24"/>
      <c r="Z32" s="28"/>
      <c r="AA32" s="29"/>
    </row>
    <row r="33" spans="2:27">
      <c r="B33" s="24"/>
      <c r="C33" s="84" t="s">
        <v>302</v>
      </c>
      <c r="F33" s="221" t="s">
        <v>166</v>
      </c>
      <c r="G33" s="222"/>
      <c r="H33" s="63"/>
      <c r="I33" s="52" t="s">
        <v>61</v>
      </c>
      <c r="J33" s="46"/>
      <c r="K33" s="76">
        <f ca="1">EXP($G85*(G32-$G$62))</f>
        <v>1.1051709180756477</v>
      </c>
      <c r="L33" s="76">
        <f>G153</f>
        <v>0.98431530632553288</v>
      </c>
      <c r="M33" s="28"/>
      <c r="O33" s="29"/>
      <c r="P33" s="24"/>
      <c r="Z33" s="28"/>
      <c r="AA33" s="29"/>
    </row>
    <row r="34" spans="2:27">
      <c r="B34" s="24"/>
      <c r="C34" s="51" t="s">
        <v>265</v>
      </c>
      <c r="D34" s="35"/>
      <c r="E34" s="35"/>
      <c r="F34" s="221" t="s">
        <v>234</v>
      </c>
      <c r="G34" s="222"/>
      <c r="H34" s="29"/>
      <c r="I34" s="51" t="s">
        <v>120</v>
      </c>
      <c r="J34" s="46"/>
      <c r="K34" s="76">
        <f ca="1">K33*K32</f>
        <v>1.8039884153978569</v>
      </c>
      <c r="L34" s="76">
        <f ca="1">K32*L33</f>
        <v>1.6067138400655148</v>
      </c>
      <c r="M34" s="28"/>
      <c r="O34" s="29"/>
      <c r="P34" s="24"/>
      <c r="Z34" s="28"/>
      <c r="AA34" s="29"/>
    </row>
    <row r="35" spans="2:27">
      <c r="B35" s="24"/>
      <c r="C35" s="79" t="s">
        <v>263</v>
      </c>
      <c r="D35" s="35"/>
      <c r="E35" s="35"/>
      <c r="F35" s="46"/>
      <c r="G35" s="17">
        <v>50</v>
      </c>
      <c r="H35" s="29"/>
      <c r="I35" s="60" t="s">
        <v>28</v>
      </c>
      <c r="J35" s="35"/>
      <c r="K35" s="35"/>
      <c r="L35" s="46"/>
      <c r="M35" s="28"/>
      <c r="O35" s="29"/>
      <c r="P35" s="24"/>
      <c r="Z35" s="28"/>
      <c r="AA35" s="29"/>
    </row>
    <row r="36" spans="2:27">
      <c r="B36" s="24"/>
      <c r="C36" s="51" t="s">
        <v>303</v>
      </c>
      <c r="D36" s="35"/>
      <c r="E36" s="35"/>
      <c r="F36" s="221" t="s">
        <v>159</v>
      </c>
      <c r="G36" s="222"/>
      <c r="H36" s="29"/>
      <c r="I36" s="31" t="s">
        <v>70</v>
      </c>
      <c r="K36" s="232">
        <f ca="1">D161</f>
        <v>1</v>
      </c>
      <c r="L36" s="233"/>
      <c r="M36" s="28"/>
      <c r="O36" s="29"/>
      <c r="P36" s="24"/>
      <c r="Z36" s="28"/>
      <c r="AA36" s="29"/>
    </row>
    <row r="37" spans="2:27">
      <c r="B37" s="24"/>
      <c r="C37" s="79" t="s">
        <v>263</v>
      </c>
      <c r="D37" s="35"/>
      <c r="E37" s="35"/>
      <c r="F37" s="46"/>
      <c r="G37" s="185">
        <f>100-G35</f>
        <v>50</v>
      </c>
      <c r="H37" s="29"/>
      <c r="I37" s="47" t="s">
        <v>121</v>
      </c>
      <c r="J37" s="46"/>
      <c r="K37" s="232">
        <f ca="1">G161</f>
        <v>3.0648542032930024</v>
      </c>
      <c r="L37" s="233"/>
      <c r="M37" s="28"/>
      <c r="O37" s="29"/>
      <c r="P37" s="24"/>
      <c r="Z37" s="28"/>
      <c r="AA37" s="29"/>
    </row>
    <row r="38" spans="2:27">
      <c r="B38" s="24"/>
      <c r="C38" s="84" t="s">
        <v>135</v>
      </c>
      <c r="D38" s="29"/>
      <c r="E38" s="29"/>
      <c r="F38" s="29"/>
      <c r="G38" s="170">
        <v>0.03</v>
      </c>
      <c r="H38" s="29"/>
      <c r="I38" s="52" t="s">
        <v>61</v>
      </c>
      <c r="J38" s="46"/>
      <c r="K38" s="76">
        <f ca="1">EXP($G93*(G32-$G$62))</f>
        <v>1.4622845894342245</v>
      </c>
      <c r="L38" s="76">
        <f>G154</f>
        <v>0.94169465724830059</v>
      </c>
      <c r="M38" s="28"/>
      <c r="O38" s="29"/>
      <c r="P38" s="24"/>
      <c r="Z38" s="28"/>
      <c r="AA38" s="29"/>
    </row>
    <row r="39" spans="2:27" ht="12.75" customHeight="1" thickBot="1">
      <c r="B39" s="24"/>
      <c r="C39" s="153" t="s">
        <v>128</v>
      </c>
      <c r="D39" s="174"/>
      <c r="E39" s="80"/>
      <c r="F39" s="230">
        <v>50000</v>
      </c>
      <c r="G39" s="231"/>
      <c r="H39" s="78"/>
      <c r="I39" s="51" t="s">
        <v>120</v>
      </c>
      <c r="J39" s="46"/>
      <c r="K39" s="76">
        <f ca="1">K38*K37</f>
        <v>4.4816890703380654</v>
      </c>
      <c r="L39" s="76">
        <f ca="1">K37*L38</f>
        <v>2.8861568284860173</v>
      </c>
      <c r="M39" s="28"/>
      <c r="O39" s="29"/>
      <c r="P39" s="24"/>
      <c r="Z39" s="28"/>
      <c r="AA39" s="29"/>
    </row>
    <row r="40" spans="2:27" ht="12.75" customHeight="1" thickTop="1">
      <c r="B40" s="24"/>
      <c r="C40" s="171" t="s">
        <v>134</v>
      </c>
      <c r="D40" s="172"/>
      <c r="E40" s="172"/>
      <c r="F40" s="172"/>
      <c r="G40" s="82"/>
      <c r="H40" s="78"/>
      <c r="M40" s="28"/>
      <c r="O40" s="29"/>
      <c r="P40" s="24"/>
      <c r="Z40" s="28"/>
      <c r="AA40" s="29"/>
    </row>
    <row r="41" spans="2:27" ht="12.75" customHeight="1">
      <c r="B41" s="24"/>
      <c r="C41" s="47" t="s">
        <v>185</v>
      </c>
      <c r="D41" s="40"/>
      <c r="E41" s="35"/>
      <c r="F41" s="46"/>
      <c r="G41" s="3">
        <v>7</v>
      </c>
      <c r="H41" s="78"/>
      <c r="I41" s="25" t="s">
        <v>129</v>
      </c>
      <c r="J41" s="26"/>
      <c r="K41" s="26"/>
      <c r="L41" s="27"/>
      <c r="M41" s="28"/>
      <c r="O41" s="29"/>
      <c r="P41" s="24"/>
      <c r="Z41" s="28"/>
      <c r="AA41" s="29"/>
    </row>
    <row r="42" spans="2:27" ht="12.75" customHeight="1" thickBot="1">
      <c r="B42" s="24"/>
      <c r="C42" s="50" t="s">
        <v>186</v>
      </c>
      <c r="D42" s="40"/>
      <c r="G42" s="3">
        <v>7</v>
      </c>
      <c r="H42" s="78"/>
      <c r="I42" s="148" t="s">
        <v>132</v>
      </c>
      <c r="J42" s="174"/>
      <c r="K42" s="236">
        <f>(E99*G99+E100*G100+E101*G101+E102*G102+E103*G103)</f>
        <v>668082.26500000001</v>
      </c>
      <c r="L42" s="237"/>
      <c r="M42" s="28"/>
      <c r="O42" s="29"/>
      <c r="P42" s="24"/>
      <c r="Z42" s="28"/>
      <c r="AA42" s="29"/>
    </row>
    <row r="43" spans="2:27" ht="12.75" customHeight="1" thickTop="1">
      <c r="B43" s="24"/>
      <c r="C43" s="48" t="s">
        <v>126</v>
      </c>
      <c r="E43" s="47" t="s">
        <v>77</v>
      </c>
      <c r="F43" s="46"/>
      <c r="G43" s="2">
        <v>10</v>
      </c>
      <c r="H43" s="78"/>
      <c r="I43" s="50" t="s">
        <v>185</v>
      </c>
      <c r="J43" s="40"/>
      <c r="K43" s="73"/>
      <c r="L43" s="182">
        <f>G41</f>
        <v>7</v>
      </c>
      <c r="M43" s="28"/>
      <c r="O43" s="29"/>
      <c r="P43" s="24"/>
      <c r="Z43" s="28"/>
      <c r="AA43" s="29"/>
    </row>
    <row r="44" spans="2:27" ht="12.75" customHeight="1">
      <c r="B44" s="24"/>
      <c r="C44" s="53" t="s">
        <v>270</v>
      </c>
      <c r="E44" s="47" t="s">
        <v>266</v>
      </c>
      <c r="F44" s="46"/>
      <c r="G44" s="2">
        <v>3</v>
      </c>
      <c r="H44" s="78"/>
      <c r="I44" s="178" t="s">
        <v>286</v>
      </c>
      <c r="J44" s="35"/>
      <c r="K44" s="181"/>
      <c r="L44" s="87">
        <f>VLOOKUP(L43-1,$Q$116:$U$136,5,FALSE)</f>
        <v>36.276304562079325</v>
      </c>
      <c r="M44" s="28"/>
      <c r="O44" s="29"/>
      <c r="P44" s="24"/>
      <c r="Z44" s="28"/>
      <c r="AA44" s="29"/>
    </row>
    <row r="45" spans="2:27" ht="12.75" customHeight="1">
      <c r="B45" s="24"/>
      <c r="C45" s="53" t="s">
        <v>269</v>
      </c>
      <c r="E45" s="47" t="s">
        <v>267</v>
      </c>
      <c r="F45" s="46"/>
      <c r="G45" s="2">
        <v>9</v>
      </c>
      <c r="H45" s="78"/>
      <c r="I45" s="50" t="s">
        <v>131</v>
      </c>
      <c r="J45" s="40"/>
      <c r="K45" s="238">
        <f ca="1">T141/F39</f>
        <v>4.4829109752213245</v>
      </c>
      <c r="L45" s="239"/>
      <c r="M45" s="28"/>
      <c r="O45" s="29"/>
      <c r="P45" s="24"/>
      <c r="Z45" s="28"/>
      <c r="AA45" s="29"/>
    </row>
    <row r="46" spans="2:27" ht="12.75" customHeight="1" thickBot="1">
      <c r="B46" s="24"/>
      <c r="C46" s="41"/>
      <c r="D46" s="40"/>
      <c r="E46" s="47" t="s">
        <v>268</v>
      </c>
      <c r="F46" s="35"/>
      <c r="G46" s="2">
        <v>2</v>
      </c>
      <c r="H46" s="78"/>
      <c r="I46" s="148" t="s">
        <v>130</v>
      </c>
      <c r="J46" s="174"/>
      <c r="K46" s="236">
        <f ca="1">T141-F39</f>
        <v>174145.54876106622</v>
      </c>
      <c r="L46" s="237"/>
      <c r="M46" s="28"/>
      <c r="O46" s="29"/>
      <c r="P46" s="24"/>
      <c r="Z46" s="28"/>
      <c r="AA46" s="29"/>
    </row>
    <row r="47" spans="2:27" ht="12.75" customHeight="1" thickTop="1">
      <c r="B47" s="24"/>
      <c r="H47" s="78"/>
      <c r="I47" s="50" t="s">
        <v>285</v>
      </c>
      <c r="J47" s="40"/>
      <c r="K47" s="73"/>
      <c r="L47" s="183">
        <f>COUNTIF(U116:U136,"&gt;"&amp;U115)</f>
        <v>21</v>
      </c>
      <c r="M47" s="28"/>
      <c r="O47" s="29"/>
      <c r="P47" s="24"/>
      <c r="Z47" s="28"/>
      <c r="AA47" s="29"/>
    </row>
    <row r="48" spans="2:27" ht="12.75" customHeight="1">
      <c r="B48" s="24"/>
      <c r="C48" s="25" t="s">
        <v>306</v>
      </c>
      <c r="D48" s="26"/>
      <c r="E48" s="26"/>
      <c r="F48" s="26"/>
      <c r="G48" s="27"/>
      <c r="H48" s="78"/>
      <c r="I48" s="178" t="s">
        <v>287</v>
      </c>
      <c r="J48" s="35"/>
      <c r="K48" s="46"/>
      <c r="L48" s="87">
        <f>VLOOKUP(L47-1,$Q$116:$U$136,5,FALSE)</f>
        <v>35.980913434343577</v>
      </c>
      <c r="M48" s="28"/>
      <c r="O48" s="29"/>
      <c r="P48" s="24"/>
      <c r="Z48" s="28"/>
      <c r="AA48" s="29"/>
    </row>
    <row r="49" spans="2:27" ht="12.75" customHeight="1">
      <c r="B49" s="24"/>
      <c r="C49" s="47" t="s">
        <v>24</v>
      </c>
      <c r="D49" s="73"/>
      <c r="E49" s="79" t="s">
        <v>40</v>
      </c>
      <c r="F49" s="79" t="s">
        <v>41</v>
      </c>
      <c r="G49" s="81" t="s">
        <v>136</v>
      </c>
      <c r="H49" s="78"/>
      <c r="I49" s="50" t="s">
        <v>131</v>
      </c>
      <c r="J49" s="40"/>
      <c r="K49" s="238">
        <f ca="1">T142/F39</f>
        <v>8.7856917220101369</v>
      </c>
      <c r="L49" s="239"/>
      <c r="M49" s="28"/>
      <c r="O49" s="29"/>
      <c r="P49" s="24"/>
      <c r="Z49" s="28"/>
      <c r="AA49" s="29"/>
    </row>
    <row r="50" spans="2:27" ht="12.75" customHeight="1">
      <c r="B50" s="24"/>
      <c r="C50" s="175" t="s">
        <v>271</v>
      </c>
      <c r="D50" s="73"/>
      <c r="E50" s="87">
        <f>G$32*EXP((-0.0016*$L$104^-0.47)*($G$17-$L$98))</f>
        <v>31.778333840916183</v>
      </c>
      <c r="F50" s="87">
        <f>F$51*EXP((-0.0016*$L$104^-0.47)*($G$17-$L$98))</f>
        <v>44.045724053525063</v>
      </c>
      <c r="G50" s="87">
        <f>G$51*EXP((-0.0016*$L$104^-0.47)*($G$17-$L$98))</f>
        <v>39.596839257569492</v>
      </c>
      <c r="H50" s="78"/>
      <c r="I50" s="50" t="s">
        <v>130</v>
      </c>
      <c r="J50" s="40"/>
      <c r="K50" s="234">
        <f ca="1">T142-F39</f>
        <v>389284.58610050683</v>
      </c>
      <c r="L50" s="235"/>
      <c r="M50" s="28"/>
      <c r="O50" s="29"/>
      <c r="P50" s="24"/>
      <c r="Z50" s="28"/>
      <c r="AA50" s="29"/>
    </row>
    <row r="51" spans="2:27">
      <c r="B51" s="24"/>
      <c r="C51" s="50" t="s">
        <v>272</v>
      </c>
      <c r="D51" s="73"/>
      <c r="E51" s="87">
        <f>G32</f>
        <v>30</v>
      </c>
      <c r="F51" s="87">
        <f>$U$116</f>
        <v>41.580900000000007</v>
      </c>
      <c r="G51" s="87">
        <f>$X$52</f>
        <v>37.380977356263969</v>
      </c>
      <c r="H51" s="78"/>
      <c r="M51" s="28"/>
      <c r="O51" s="29"/>
      <c r="P51" s="24"/>
      <c r="U51" s="29"/>
      <c r="V51" s="29"/>
      <c r="W51" s="29"/>
      <c r="Z51" s="28"/>
      <c r="AA51" s="29"/>
    </row>
    <row r="52" spans="2:27" ht="12.75" customHeight="1">
      <c r="B52" s="24"/>
      <c r="H52" s="29"/>
      <c r="J52" s="88"/>
      <c r="L52" s="89" t="s">
        <v>85</v>
      </c>
      <c r="M52" s="28"/>
      <c r="O52" s="29"/>
      <c r="P52" s="24"/>
      <c r="Q52" s="29"/>
      <c r="R52" s="29"/>
      <c r="S52" s="85" t="s">
        <v>216</v>
      </c>
      <c r="T52" s="86">
        <f>COUNTIF(U116:U136,"&gt;"&amp;W146+1)</f>
        <v>4</v>
      </c>
      <c r="W52" s="85" t="s">
        <v>217</v>
      </c>
      <c r="X52" s="87">
        <f>VLOOKUP(MAX(0,T52-1),Q116:U136,5,FALSE)</f>
        <v>37.380977356263969</v>
      </c>
      <c r="Y52" s="89" t="s">
        <v>84</v>
      </c>
      <c r="Z52" s="28"/>
      <c r="AA52" s="29"/>
    </row>
    <row r="53" spans="2:27" ht="3.75" customHeight="1" thickBot="1">
      <c r="B53" s="90"/>
      <c r="C53" s="91"/>
      <c r="D53" s="91"/>
      <c r="E53" s="91"/>
      <c r="F53" s="91"/>
      <c r="G53" s="91"/>
      <c r="H53" s="91"/>
      <c r="I53" s="91"/>
      <c r="J53" s="91"/>
      <c r="K53" s="91"/>
      <c r="L53" s="91"/>
      <c r="M53" s="92"/>
      <c r="O53" s="29"/>
      <c r="P53" s="90"/>
      <c r="Q53" s="91"/>
      <c r="R53" s="91"/>
      <c r="S53" s="91"/>
      <c r="T53" s="91"/>
      <c r="U53" s="91"/>
      <c r="V53" s="91"/>
      <c r="W53" s="91"/>
      <c r="X53" s="91"/>
      <c r="Y53" s="91"/>
      <c r="Z53" s="92"/>
      <c r="AA53" s="29"/>
    </row>
    <row r="54" spans="2:27" ht="3.75" customHeight="1">
      <c r="B54" s="29"/>
      <c r="C54" s="29"/>
      <c r="D54" s="29"/>
      <c r="E54" s="29"/>
      <c r="F54" s="29"/>
      <c r="G54" s="29"/>
      <c r="H54" s="29"/>
      <c r="I54" s="29"/>
      <c r="J54" s="29"/>
      <c r="K54" s="29"/>
      <c r="L54" s="29"/>
      <c r="M54" s="29"/>
    </row>
    <row r="55" spans="2:27" ht="3.75" customHeight="1" thickBot="1"/>
    <row r="56" spans="2:27" ht="3.75" customHeight="1">
      <c r="B56" s="20"/>
      <c r="C56" s="93"/>
      <c r="D56" s="93"/>
      <c r="E56" s="93"/>
      <c r="F56" s="93"/>
      <c r="G56" s="93"/>
      <c r="H56" s="93"/>
      <c r="I56" s="93"/>
      <c r="J56" s="93"/>
      <c r="K56" s="93"/>
      <c r="L56" s="93"/>
      <c r="M56" s="21"/>
      <c r="P56" s="20"/>
      <c r="Q56" s="93"/>
      <c r="R56" s="93"/>
      <c r="S56" s="93"/>
      <c r="T56" s="93"/>
      <c r="U56" s="93"/>
      <c r="V56" s="93"/>
      <c r="W56" s="93"/>
      <c r="X56" s="93"/>
      <c r="Y56" s="93"/>
      <c r="Z56" s="93"/>
      <c r="AA56" s="24"/>
    </row>
    <row r="57" spans="2:27">
      <c r="B57" s="24"/>
      <c r="C57" s="94" t="s">
        <v>202</v>
      </c>
      <c r="D57" s="29"/>
      <c r="E57" s="29"/>
      <c r="F57" s="29"/>
      <c r="G57" s="29"/>
      <c r="H57" s="29"/>
      <c r="M57" s="28"/>
      <c r="P57" s="24"/>
      <c r="Q57" s="95" t="s">
        <v>203</v>
      </c>
      <c r="R57" s="29"/>
      <c r="S57" s="29"/>
      <c r="T57" s="29"/>
      <c r="U57" s="29"/>
      <c r="V57" s="29"/>
      <c r="W57" s="29"/>
      <c r="X57" s="29"/>
      <c r="Z57" s="29"/>
      <c r="AA57" s="24"/>
    </row>
    <row r="58" spans="2:27">
      <c r="B58" s="24"/>
      <c r="H58" s="29"/>
      <c r="M58" s="28"/>
      <c r="P58" s="24"/>
      <c r="T58" s="29"/>
      <c r="AA58" s="24"/>
    </row>
    <row r="59" spans="2:27">
      <c r="B59" s="24"/>
      <c r="D59" s="60" t="s">
        <v>198</v>
      </c>
      <c r="E59" s="35"/>
      <c r="F59" s="46"/>
      <c r="G59" s="47" t="s">
        <v>197</v>
      </c>
      <c r="H59" s="46"/>
      <c r="I59" s="79" t="s">
        <v>191</v>
      </c>
      <c r="J59" s="79" t="s">
        <v>192</v>
      </c>
      <c r="K59" s="79" t="s">
        <v>193</v>
      </c>
      <c r="M59" s="28"/>
      <c r="P59" s="24"/>
      <c r="Q59" s="96" t="s">
        <v>168</v>
      </c>
      <c r="R59" s="35"/>
      <c r="S59" s="35"/>
      <c r="T59" s="97"/>
      <c r="U59" s="35"/>
      <c r="V59" s="46"/>
      <c r="AA59" s="24"/>
    </row>
    <row r="60" spans="2:27" ht="12.75" customHeight="1">
      <c r="B60" s="24"/>
      <c r="D60" s="210" t="s">
        <v>119</v>
      </c>
      <c r="E60" s="48" t="s">
        <v>18</v>
      </c>
      <c r="F60" s="49"/>
      <c r="G60" s="34">
        <f t="shared" ref="G60:G95" ca="1" si="2">OFFSET(H60,0,MATCH(G$12,I$59:K$59,0))</f>
        <v>12</v>
      </c>
      <c r="H60" s="46"/>
      <c r="I60" s="16">
        <v>12</v>
      </c>
      <c r="J60" s="16">
        <v>12</v>
      </c>
      <c r="K60" s="16">
        <v>12</v>
      </c>
      <c r="M60" s="28"/>
      <c r="P60" s="24"/>
      <c r="Q60" s="50" t="s">
        <v>220</v>
      </c>
      <c r="R60" s="143"/>
      <c r="S60" s="73"/>
      <c r="T60" s="144" t="s">
        <v>218</v>
      </c>
      <c r="U60" s="33" t="s">
        <v>219</v>
      </c>
      <c r="V60" s="79" t="s">
        <v>239</v>
      </c>
      <c r="W60" s="64"/>
      <c r="AA60" s="24"/>
    </row>
    <row r="61" spans="2:27">
      <c r="B61" s="24"/>
      <c r="D61" s="211"/>
      <c r="E61" s="84" t="s">
        <v>19</v>
      </c>
      <c r="F61" s="63"/>
      <c r="G61" s="34">
        <f t="shared" ca="1" si="2"/>
        <v>8</v>
      </c>
      <c r="H61" s="46"/>
      <c r="I61" s="16">
        <v>8</v>
      </c>
      <c r="J61" s="16">
        <v>8</v>
      </c>
      <c r="K61" s="16">
        <v>4</v>
      </c>
      <c r="M61" s="28"/>
      <c r="P61" s="24"/>
      <c r="Q61" s="36"/>
      <c r="R61" s="142" t="s">
        <v>230</v>
      </c>
      <c r="S61" s="168"/>
      <c r="T61" s="193">
        <v>5.14</v>
      </c>
      <c r="U61" s="194">
        <v>0.91900000000000004</v>
      </c>
      <c r="V61" s="79" t="s">
        <v>240</v>
      </c>
      <c r="AA61" s="24"/>
    </row>
    <row r="62" spans="2:27">
      <c r="B62" s="24"/>
      <c r="D62" s="211"/>
      <c r="E62" s="84" t="s">
        <v>24</v>
      </c>
      <c r="F62" s="63"/>
      <c r="G62" s="34">
        <f t="shared" ca="1" si="2"/>
        <v>40</v>
      </c>
      <c r="H62" s="46"/>
      <c r="I62" s="16">
        <v>40</v>
      </c>
      <c r="J62" s="16">
        <v>40</v>
      </c>
      <c r="K62" s="16">
        <v>40</v>
      </c>
      <c r="M62" s="28"/>
      <c r="P62" s="24"/>
      <c r="Q62" s="45"/>
      <c r="R62" s="142" t="s">
        <v>231</v>
      </c>
      <c r="S62" s="168"/>
      <c r="T62" s="193">
        <v>4.76</v>
      </c>
      <c r="U62" s="194">
        <v>0.93700000000000006</v>
      </c>
      <c r="V62" s="79" t="s">
        <v>240</v>
      </c>
      <c r="AA62" s="24"/>
    </row>
    <row r="63" spans="2:27">
      <c r="B63" s="24"/>
      <c r="D63" s="212"/>
      <c r="E63" s="50" t="s">
        <v>117</v>
      </c>
      <c r="F63" s="73"/>
      <c r="G63" s="34">
        <f t="shared" ca="1" si="2"/>
        <v>30</v>
      </c>
      <c r="H63" s="46"/>
      <c r="I63" s="16">
        <v>30</v>
      </c>
      <c r="J63" s="16">
        <v>30</v>
      </c>
      <c r="K63" s="16">
        <v>30</v>
      </c>
      <c r="M63" s="28"/>
      <c r="P63" s="24"/>
      <c r="Q63" s="45"/>
      <c r="R63" s="142" t="s">
        <v>232</v>
      </c>
      <c r="S63" s="168"/>
      <c r="T63" s="193">
        <v>1.74</v>
      </c>
      <c r="U63" s="194">
        <v>0.86499999999999999</v>
      </c>
      <c r="V63" s="79" t="s">
        <v>240</v>
      </c>
      <c r="AA63" s="24"/>
    </row>
    <row r="64" spans="2:27" ht="12.75" customHeight="1">
      <c r="B64" s="24"/>
      <c r="D64" s="216" t="s">
        <v>56</v>
      </c>
      <c r="E64" s="32" t="s">
        <v>20</v>
      </c>
      <c r="F64" s="32"/>
      <c r="G64" s="34">
        <f t="shared" ca="1" si="2"/>
        <v>5.8787277648404104E-4</v>
      </c>
      <c r="H64" s="46"/>
      <c r="I64" s="4">
        <f>EXP(-7.439)</f>
        <v>5.8787277648404104E-4</v>
      </c>
      <c r="J64" s="4">
        <f>EXP(-5.158)</f>
        <v>5.7531945760843101E-3</v>
      </c>
      <c r="K64" s="4">
        <f>EXP(-8.088)</f>
        <v>3.0720355023591524E-4</v>
      </c>
      <c r="L64" s="64"/>
      <c r="M64" s="28"/>
      <c r="P64" s="24"/>
      <c r="Q64" s="110" t="s">
        <v>221</v>
      </c>
      <c r="R64" s="142" t="s">
        <v>164</v>
      </c>
      <c r="S64" s="168"/>
      <c r="T64" s="193">
        <v>1.74</v>
      </c>
      <c r="U64" s="194">
        <v>0.86499999999999999</v>
      </c>
      <c r="V64" s="79" t="s">
        <v>240</v>
      </c>
      <c r="AA64" s="24"/>
    </row>
    <row r="65" spans="2:27" ht="12.75" customHeight="1">
      <c r="B65" s="24"/>
      <c r="D65" s="217"/>
      <c r="E65" s="29" t="s">
        <v>21</v>
      </c>
      <c r="F65" s="29"/>
      <c r="G65" s="34">
        <f t="shared" ca="1" si="2"/>
        <v>0.76</v>
      </c>
      <c r="H65" s="46"/>
      <c r="I65" s="14">
        <v>0.76</v>
      </c>
      <c r="J65" s="14">
        <v>0.48399999999999999</v>
      </c>
      <c r="K65" s="14">
        <v>0.84299999999999997</v>
      </c>
      <c r="M65" s="28"/>
      <c r="P65" s="24"/>
      <c r="Q65" s="110" t="s">
        <v>222</v>
      </c>
      <c r="R65" s="142" t="s">
        <v>233</v>
      </c>
      <c r="S65" s="168"/>
      <c r="T65" s="193">
        <v>7.71</v>
      </c>
      <c r="U65" s="194">
        <v>1.33</v>
      </c>
      <c r="V65" s="79" t="s">
        <v>240</v>
      </c>
      <c r="AA65" s="24"/>
    </row>
    <row r="66" spans="2:27">
      <c r="B66" s="24"/>
      <c r="D66" s="217"/>
      <c r="E66" s="29" t="s">
        <v>69</v>
      </c>
      <c r="F66" s="29"/>
      <c r="G66" s="34">
        <f t="shared" ca="1" si="2"/>
        <v>0.35599999999999998</v>
      </c>
      <c r="H66" s="46"/>
      <c r="I66" s="14">
        <v>0.35599999999999998</v>
      </c>
      <c r="J66" s="14">
        <v>0.505</v>
      </c>
      <c r="K66" s="14">
        <v>0</v>
      </c>
      <c r="M66" s="28"/>
      <c r="P66" s="24"/>
      <c r="Q66" s="45"/>
      <c r="R66" s="142" t="s">
        <v>165</v>
      </c>
      <c r="S66" s="168"/>
      <c r="T66" s="193">
        <v>4.25</v>
      </c>
      <c r="U66" s="194">
        <v>1.1100000000000001</v>
      </c>
      <c r="V66" s="79" t="s">
        <v>240</v>
      </c>
      <c r="AA66" s="24"/>
    </row>
    <row r="67" spans="2:27">
      <c r="B67" s="24"/>
      <c r="D67" s="217"/>
      <c r="E67" s="29" t="s">
        <v>18</v>
      </c>
      <c r="F67" s="29"/>
      <c r="G67" s="34">
        <f t="shared" ca="1" si="2"/>
        <v>-6.4000000000000001E-2</v>
      </c>
      <c r="H67" s="46"/>
      <c r="I67" s="14">
        <v>-6.4000000000000001E-2</v>
      </c>
      <c r="J67" s="14">
        <v>0</v>
      </c>
      <c r="K67" s="14">
        <v>0</v>
      </c>
      <c r="M67" s="28"/>
      <c r="P67" s="24"/>
      <c r="Q67" s="45"/>
      <c r="R67" s="142" t="s">
        <v>229</v>
      </c>
      <c r="S67" s="168"/>
      <c r="T67" s="193">
        <v>4.25</v>
      </c>
      <c r="U67" s="194">
        <v>1.1100000000000001</v>
      </c>
      <c r="V67" s="79" t="s">
        <v>240</v>
      </c>
      <c r="AA67" s="24"/>
    </row>
    <row r="68" spans="2:27" ht="12.75" customHeight="1">
      <c r="B68" s="24"/>
      <c r="D68" s="217"/>
      <c r="E68" s="29" t="s">
        <v>19</v>
      </c>
      <c r="F68" s="29"/>
      <c r="G68" s="34">
        <f t="shared" ca="1" si="2"/>
        <v>-0.04</v>
      </c>
      <c r="H68" s="46"/>
      <c r="I68" s="14">
        <v>-0.04</v>
      </c>
      <c r="J68" s="14">
        <v>0</v>
      </c>
      <c r="K68" s="14">
        <v>-6.3E-2</v>
      </c>
      <c r="M68" s="28"/>
      <c r="P68" s="24"/>
      <c r="Q68" s="45"/>
      <c r="R68" s="142" t="s">
        <v>167</v>
      </c>
      <c r="S68" s="46"/>
      <c r="T68" s="193">
        <v>5.95</v>
      </c>
      <c r="U68" s="194">
        <v>3.06</v>
      </c>
      <c r="V68" s="79" t="s">
        <v>240</v>
      </c>
      <c r="AA68" s="24"/>
    </row>
    <row r="69" spans="2:27" ht="12.75" customHeight="1">
      <c r="B69" s="24"/>
      <c r="D69" s="217"/>
      <c r="E69" s="101" t="s">
        <v>24</v>
      </c>
      <c r="F69" s="29"/>
      <c r="G69" s="34">
        <f t="shared" ca="1" si="2"/>
        <v>-8.9999999999999993E-3</v>
      </c>
      <c r="H69" s="46"/>
      <c r="I69" s="14">
        <v>-8.9999999999999993E-3</v>
      </c>
      <c r="J69" s="14">
        <v>-7.0000000000000001E-3</v>
      </c>
      <c r="K69" s="14">
        <v>-4.0000000000000001E-3</v>
      </c>
      <c r="M69" s="28"/>
      <c r="P69" s="24"/>
      <c r="Q69" s="44"/>
      <c r="R69" s="145" t="s">
        <v>166</v>
      </c>
      <c r="S69" s="46"/>
      <c r="T69" s="193">
        <v>9.77</v>
      </c>
      <c r="U69" s="194">
        <v>2.2400000000000002</v>
      </c>
      <c r="V69" s="79" t="s">
        <v>240</v>
      </c>
      <c r="AA69" s="24"/>
    </row>
    <row r="70" spans="2:27">
      <c r="B70" s="24"/>
      <c r="D70" s="217"/>
      <c r="E70" s="78" t="s">
        <v>117</v>
      </c>
      <c r="F70" s="29"/>
      <c r="G70" s="34">
        <f t="shared" ca="1" si="2"/>
        <v>1.4E-2</v>
      </c>
      <c r="H70" s="46"/>
      <c r="I70" s="14">
        <v>1.4E-2</v>
      </c>
      <c r="J70" s="14">
        <f>K70</f>
        <v>3.0000000000000001E-3</v>
      </c>
      <c r="K70" s="14">
        <v>3.0000000000000001E-3</v>
      </c>
      <c r="M70" s="28"/>
      <c r="P70" s="24"/>
      <c r="Q70" s="189"/>
      <c r="R70" s="142" t="s">
        <v>304</v>
      </c>
      <c r="S70" s="168"/>
      <c r="T70" s="195">
        <f>AVERAGE(12.2,9.17,5.55)</f>
        <v>8.9733333333333327</v>
      </c>
      <c r="U70" s="196">
        <f>AVERAGE(8.8,5.14,5.37)</f>
        <v>6.4366666666666674</v>
      </c>
      <c r="V70" s="79" t="s">
        <v>241</v>
      </c>
      <c r="X70" s="146"/>
      <c r="AA70" s="24"/>
    </row>
    <row r="71" spans="2:27">
      <c r="B71" s="24"/>
      <c r="D71" s="218"/>
      <c r="E71" s="39" t="s">
        <v>50</v>
      </c>
      <c r="F71" s="73"/>
      <c r="G71" s="34">
        <f t="shared" ca="1" si="2"/>
        <v>0.58499999999999996</v>
      </c>
      <c r="H71" s="46"/>
      <c r="I71" s="14">
        <v>0.58499999999999996</v>
      </c>
      <c r="J71" s="14">
        <v>4.1920000000000002</v>
      </c>
      <c r="K71" s="14">
        <v>2.3879999999999999</v>
      </c>
      <c r="M71" s="28"/>
      <c r="P71" s="24"/>
      <c r="Q71" s="189"/>
      <c r="R71" s="142" t="s">
        <v>264</v>
      </c>
      <c r="S71" s="46"/>
      <c r="T71" s="193">
        <v>2.41</v>
      </c>
      <c r="U71" s="194">
        <v>3.29</v>
      </c>
      <c r="V71" s="79" t="s">
        <v>242</v>
      </c>
      <c r="X71" s="146"/>
      <c r="AA71" s="24"/>
    </row>
    <row r="72" spans="2:27" ht="12.75" customHeight="1">
      <c r="B72" s="24"/>
      <c r="D72" s="216" t="s">
        <v>55</v>
      </c>
      <c r="E72" s="29" t="s">
        <v>20</v>
      </c>
      <c r="F72" s="29"/>
      <c r="G72" s="34">
        <f t="shared" ca="1" si="2"/>
        <v>4.0752229830809819E-5</v>
      </c>
      <c r="H72" s="46"/>
      <c r="I72" s="4">
        <f>EXP(-10.108)</f>
        <v>4.0752229830809819E-5</v>
      </c>
      <c r="J72" s="4">
        <f>EXP(-7.097)</f>
        <v>8.2758395472361484E-4</v>
      </c>
      <c r="K72" s="4">
        <f>EXP(-9.843)</f>
        <v>5.3117718693516822E-5</v>
      </c>
      <c r="M72" s="28"/>
      <c r="P72" s="24"/>
      <c r="Q72" s="188"/>
      <c r="R72" s="187"/>
      <c r="S72" s="186"/>
      <c r="T72" s="190"/>
      <c r="U72" s="190"/>
      <c r="V72" s="186"/>
      <c r="W72" s="29"/>
      <c r="X72" s="146"/>
      <c r="AA72" s="24"/>
    </row>
    <row r="73" spans="2:27">
      <c r="B73" s="24"/>
      <c r="D73" s="217"/>
      <c r="E73" s="29" t="s">
        <v>21</v>
      </c>
      <c r="F73" s="29"/>
      <c r="G73" s="34">
        <f t="shared" ca="1" si="2"/>
        <v>0.84099999999999997</v>
      </c>
      <c r="H73" s="46"/>
      <c r="I73" s="14">
        <v>0.84099999999999997</v>
      </c>
      <c r="J73" s="14">
        <v>0.49099999999999999</v>
      </c>
      <c r="K73" s="14">
        <v>0.83799999999999997</v>
      </c>
      <c r="M73" s="28"/>
      <c r="P73" s="24"/>
      <c r="Q73" s="96" t="s">
        <v>162</v>
      </c>
      <c r="R73" s="35"/>
      <c r="S73" s="97"/>
      <c r="T73" s="97"/>
      <c r="U73" s="46"/>
      <c r="W73" s="108" t="s">
        <v>214</v>
      </c>
      <c r="X73" s="35"/>
      <c r="Y73" s="46"/>
      <c r="Z73" s="29"/>
      <c r="AA73" s="24"/>
    </row>
    <row r="74" spans="2:27" ht="15.75">
      <c r="B74" s="24"/>
      <c r="D74" s="217"/>
      <c r="E74" s="102" t="s">
        <v>69</v>
      </c>
      <c r="F74" s="29"/>
      <c r="G74" s="34">
        <f t="shared" ca="1" si="2"/>
        <v>0</v>
      </c>
      <c r="H74" s="46"/>
      <c r="I74" s="14">
        <v>0</v>
      </c>
      <c r="J74" s="14">
        <v>0.68899999999999995</v>
      </c>
      <c r="K74" s="14">
        <v>0</v>
      </c>
      <c r="M74" s="28"/>
      <c r="P74" s="24"/>
      <c r="Q74" s="99" t="s">
        <v>157</v>
      </c>
      <c r="R74" s="35"/>
      <c r="S74" s="140" t="s">
        <v>223</v>
      </c>
      <c r="T74" s="140" t="s">
        <v>224</v>
      </c>
      <c r="U74" s="141" t="s">
        <v>225</v>
      </c>
      <c r="W74" s="81" t="s">
        <v>122</v>
      </c>
      <c r="X74" s="79" t="s">
        <v>208</v>
      </c>
      <c r="Y74" s="79" t="s">
        <v>209</v>
      </c>
      <c r="AA74" s="24"/>
    </row>
    <row r="75" spans="2:27" ht="12.75" customHeight="1">
      <c r="B75" s="24"/>
      <c r="D75" s="217"/>
      <c r="E75" s="29" t="s">
        <v>18</v>
      </c>
      <c r="F75" s="29"/>
      <c r="G75" s="34">
        <f t="shared" ca="1" si="2"/>
        <v>0</v>
      </c>
      <c r="H75" s="46"/>
      <c r="I75" s="14">
        <v>0</v>
      </c>
      <c r="J75" s="14">
        <v>0</v>
      </c>
      <c r="K75" s="14">
        <v>0</v>
      </c>
      <c r="M75" s="28"/>
      <c r="P75" s="24"/>
      <c r="Q75" s="51" t="s">
        <v>158</v>
      </c>
      <c r="R75" s="35"/>
      <c r="S75" s="15">
        <v>1514</v>
      </c>
      <c r="T75" s="15">
        <v>1470</v>
      </c>
      <c r="U75" s="15">
        <v>1.0999999999999999E-2</v>
      </c>
      <c r="W75" s="109" t="s">
        <v>210</v>
      </c>
      <c r="X75" s="36" t="s">
        <v>14</v>
      </c>
      <c r="Y75" s="4">
        <v>0.22020000000000001</v>
      </c>
      <c r="AA75" s="24"/>
    </row>
    <row r="76" spans="2:27" ht="12.75" customHeight="1">
      <c r="B76" s="24"/>
      <c r="D76" s="217"/>
      <c r="E76" s="102" t="s">
        <v>19</v>
      </c>
      <c r="F76" s="29"/>
      <c r="G76" s="34">
        <f t="shared" ca="1" si="2"/>
        <v>-5.8000000000000003E-2</v>
      </c>
      <c r="H76" s="46"/>
      <c r="I76" s="14">
        <v>-5.8000000000000003E-2</v>
      </c>
      <c r="J76" s="14">
        <v>0</v>
      </c>
      <c r="K76" s="14">
        <v>0</v>
      </c>
      <c r="M76" s="28"/>
      <c r="P76" s="24"/>
      <c r="Q76" s="51" t="s">
        <v>159</v>
      </c>
      <c r="R76" s="35"/>
      <c r="S76" s="15">
        <v>1514</v>
      </c>
      <c r="T76" s="15">
        <v>1470</v>
      </c>
      <c r="U76" s="15">
        <v>1.0999999999999999E-2</v>
      </c>
      <c r="W76" s="110" t="s">
        <v>210</v>
      </c>
      <c r="X76" s="45" t="s">
        <v>13</v>
      </c>
      <c r="Y76" s="4">
        <v>9.6599999999999995E-4</v>
      </c>
      <c r="AA76" s="24"/>
    </row>
    <row r="77" spans="2:27" ht="12.75" customHeight="1">
      <c r="B77" s="24"/>
      <c r="D77" s="217"/>
      <c r="E77" s="101" t="s">
        <v>24</v>
      </c>
      <c r="F77" s="29"/>
      <c r="G77" s="34">
        <f t="shared" ca="1" si="2"/>
        <v>-3.7999999999999999E-2</v>
      </c>
      <c r="H77" s="46"/>
      <c r="I77" s="14">
        <v>-3.7999999999999999E-2</v>
      </c>
      <c r="J77" s="14">
        <v>-3.4000000000000002E-2</v>
      </c>
      <c r="K77" s="14">
        <v>-2.7400000000000001E-2</v>
      </c>
      <c r="M77" s="28"/>
      <c r="P77" s="24"/>
      <c r="Q77" s="47" t="s">
        <v>160</v>
      </c>
      <c r="R77" s="46"/>
      <c r="S77" s="15">
        <v>1716</v>
      </c>
      <c r="T77" s="15">
        <v>1024</v>
      </c>
      <c r="U77" s="15">
        <v>0.01</v>
      </c>
      <c r="W77" s="111" t="s">
        <v>210</v>
      </c>
      <c r="X77" s="44" t="s">
        <v>15</v>
      </c>
      <c r="Y77" s="4">
        <v>1.89E-2</v>
      </c>
      <c r="AA77" s="24"/>
    </row>
    <row r="78" spans="2:27">
      <c r="B78" s="24"/>
      <c r="D78" s="217"/>
      <c r="E78" s="78" t="s">
        <v>117</v>
      </c>
      <c r="G78" s="34">
        <f t="shared" ca="1" si="2"/>
        <v>3.1E-2</v>
      </c>
      <c r="H78" s="46"/>
      <c r="I78" s="14">
        <v>3.1E-2</v>
      </c>
      <c r="J78" s="14">
        <f>K78</f>
        <v>1.4E-2</v>
      </c>
      <c r="K78" s="14">
        <v>1.4E-2</v>
      </c>
      <c r="M78" s="28"/>
      <c r="P78" s="24"/>
      <c r="Q78" s="51" t="s">
        <v>234</v>
      </c>
      <c r="R78" s="35"/>
      <c r="S78" s="15">
        <v>1929</v>
      </c>
      <c r="T78" s="15">
        <v>986</v>
      </c>
      <c r="U78" s="15">
        <v>5.0000000000000001E-3</v>
      </c>
      <c r="W78" s="109" t="s">
        <v>211</v>
      </c>
      <c r="X78" s="36" t="s">
        <v>14</v>
      </c>
      <c r="Y78" s="4">
        <v>-54.885899999999999</v>
      </c>
      <c r="AA78" s="24"/>
    </row>
    <row r="79" spans="2:27">
      <c r="B79" s="24"/>
      <c r="D79" s="218"/>
      <c r="E79" s="39" t="s">
        <v>50</v>
      </c>
      <c r="F79" s="73"/>
      <c r="G79" s="34">
        <f t="shared" ca="1" si="2"/>
        <v>0.27700000000000002</v>
      </c>
      <c r="H79" s="46"/>
      <c r="I79" s="14">
        <v>0.27700000000000002</v>
      </c>
      <c r="J79" s="14">
        <v>1.1859999999999999</v>
      </c>
      <c r="K79" s="14">
        <v>0.67600000000000005</v>
      </c>
      <c r="M79" s="28"/>
      <c r="P79" s="24"/>
      <c r="Q79" s="51" t="s">
        <v>235</v>
      </c>
      <c r="R79" s="35"/>
      <c r="S79" s="15">
        <v>2048</v>
      </c>
      <c r="T79" s="15">
        <v>544</v>
      </c>
      <c r="U79" s="15">
        <v>1.2999999999999999E-2</v>
      </c>
      <c r="W79" s="110" t="s">
        <v>211</v>
      </c>
      <c r="X79" s="45" t="s">
        <v>13</v>
      </c>
      <c r="Y79" s="4">
        <v>58.768300000000004</v>
      </c>
      <c r="AA79" s="24"/>
    </row>
    <row r="80" spans="2:27" ht="12.75" customHeight="1">
      <c r="B80" s="24"/>
      <c r="D80" s="216" t="s">
        <v>54</v>
      </c>
      <c r="E80" s="29" t="s">
        <v>20</v>
      </c>
      <c r="F80" s="29"/>
      <c r="G80" s="34">
        <f t="shared" ca="1" si="2"/>
        <v>4.7699717000361524E-4</v>
      </c>
      <c r="H80" s="46"/>
      <c r="I80" s="4">
        <f>EXP(-7.648)</f>
        <v>4.7699717000361524E-4</v>
      </c>
      <c r="J80" s="4">
        <f>EXP(-4.179)</f>
        <v>1.5313813726096408E-2</v>
      </c>
      <c r="K80" s="4">
        <f>EXP(-7.741)</f>
        <v>4.346367209669474E-4</v>
      </c>
      <c r="M80" s="28"/>
      <c r="P80" s="24"/>
      <c r="Q80" s="51" t="s">
        <v>161</v>
      </c>
      <c r="R80" s="46"/>
      <c r="S80" s="15">
        <v>1966</v>
      </c>
      <c r="T80" s="15">
        <v>535</v>
      </c>
      <c r="U80" s="15">
        <v>1.9E-2</v>
      </c>
      <c r="W80" s="111" t="s">
        <v>211</v>
      </c>
      <c r="X80" s="44" t="s">
        <v>15</v>
      </c>
      <c r="Y80" s="4">
        <v>-0.55559999999999998</v>
      </c>
      <c r="AA80" s="24"/>
    </row>
    <row r="81" spans="2:27">
      <c r="B81" s="24"/>
      <c r="D81" s="217"/>
      <c r="E81" s="29" t="s">
        <v>21</v>
      </c>
      <c r="F81" s="29"/>
      <c r="G81" s="34">
        <f t="shared" ca="1" si="2"/>
        <v>0.752</v>
      </c>
      <c r="H81" s="46"/>
      <c r="I81" s="14">
        <v>0.752</v>
      </c>
      <c r="J81" s="14">
        <v>0.308</v>
      </c>
      <c r="K81" s="14">
        <v>0.76600000000000001</v>
      </c>
      <c r="M81" s="28"/>
      <c r="P81" s="24"/>
      <c r="Q81" s="47" t="s">
        <v>238</v>
      </c>
      <c r="R81" s="46"/>
      <c r="S81" s="15">
        <v>1746</v>
      </c>
      <c r="T81" s="15">
        <v>1359</v>
      </c>
      <c r="U81" s="15">
        <v>1.7000000000000001E-2</v>
      </c>
      <c r="W81" s="109" t="s">
        <v>212</v>
      </c>
      <c r="X81" s="36" t="s">
        <v>14</v>
      </c>
      <c r="Y81" s="4">
        <v>-12.399900000000001</v>
      </c>
      <c r="AA81" s="24"/>
    </row>
    <row r="82" spans="2:27">
      <c r="B82" s="24"/>
      <c r="D82" s="217"/>
      <c r="E82" s="29" t="s">
        <v>69</v>
      </c>
      <c r="F82" s="29"/>
      <c r="G82" s="34">
        <f t="shared" ca="1" si="2"/>
        <v>0.47399999999999998</v>
      </c>
      <c r="H82" s="46"/>
      <c r="I82" s="14">
        <v>0.47399999999999998</v>
      </c>
      <c r="J82" s="14">
        <v>0.93899999999999995</v>
      </c>
      <c r="K82" s="14">
        <v>0</v>
      </c>
      <c r="M82" s="28"/>
      <c r="P82" s="24"/>
      <c r="Q82" s="47" t="s">
        <v>236</v>
      </c>
      <c r="R82" s="46"/>
      <c r="S82" s="15">
        <v>1921</v>
      </c>
      <c r="T82" s="15">
        <v>916</v>
      </c>
      <c r="U82" s="15">
        <v>1.7999999999999999E-2</v>
      </c>
      <c r="W82" s="110" t="s">
        <v>212</v>
      </c>
      <c r="X82" s="45" t="s">
        <v>13</v>
      </c>
      <c r="Y82" s="4">
        <v>15.1972</v>
      </c>
      <c r="AA82" s="24"/>
    </row>
    <row r="83" spans="2:27" ht="12.75" customHeight="1">
      <c r="B83" s="24"/>
      <c r="D83" s="217"/>
      <c r="E83" s="29" t="s">
        <v>18</v>
      </c>
      <c r="F83" s="29"/>
      <c r="G83" s="34">
        <f t="shared" ca="1" si="2"/>
        <v>-8.7999999999999995E-2</v>
      </c>
      <c r="H83" s="46"/>
      <c r="I83" s="14">
        <v>-8.7999999999999995E-2</v>
      </c>
      <c r="J83" s="14">
        <v>0</v>
      </c>
      <c r="K83" s="14">
        <v>0</v>
      </c>
      <c r="M83" s="28"/>
      <c r="P83" s="24"/>
      <c r="Q83" s="47" t="s">
        <v>237</v>
      </c>
      <c r="R83" s="46"/>
      <c r="S83" s="15">
        <v>2895</v>
      </c>
      <c r="T83" s="15">
        <v>559</v>
      </c>
      <c r="U83" s="15">
        <v>8.0000000000000002E-3</v>
      </c>
      <c r="W83" s="111" t="s">
        <v>212</v>
      </c>
      <c r="X83" s="44" t="s">
        <v>15</v>
      </c>
      <c r="Y83" s="4">
        <v>-0.80300000000000005</v>
      </c>
      <c r="AA83" s="24"/>
    </row>
    <row r="84" spans="2:27" ht="12.75" customHeight="1">
      <c r="B84" s="24"/>
      <c r="C84" s="29"/>
      <c r="D84" s="217"/>
      <c r="E84" s="29" t="s">
        <v>19</v>
      </c>
      <c r="F84" s="29"/>
      <c r="G84" s="34">
        <f t="shared" ca="1" si="2"/>
        <v>-4.3999999999999997E-2</v>
      </c>
      <c r="H84" s="46"/>
      <c r="I84" s="14">
        <v>-4.3999999999999997E-2</v>
      </c>
      <c r="J84" s="14">
        <v>0</v>
      </c>
      <c r="K84" s="14">
        <v>-0.08</v>
      </c>
      <c r="M84" s="28"/>
      <c r="P84" s="24"/>
      <c r="AA84" s="24"/>
    </row>
    <row r="85" spans="2:27" ht="12.75" customHeight="1">
      <c r="B85" s="24"/>
      <c r="C85" s="29"/>
      <c r="D85" s="217"/>
      <c r="E85" s="101" t="s">
        <v>24</v>
      </c>
      <c r="F85" s="29"/>
      <c r="G85" s="34">
        <f t="shared" ca="1" si="2"/>
        <v>-0.01</v>
      </c>
      <c r="H85" s="46"/>
      <c r="I85" s="14">
        <v>-0.01</v>
      </c>
      <c r="J85" s="14">
        <v>-1.0999999999999999E-2</v>
      </c>
      <c r="K85" s="14">
        <v>-6.0000000000000001E-3</v>
      </c>
      <c r="M85" s="28"/>
      <c r="P85" s="24"/>
      <c r="Q85" s="96" t="s">
        <v>163</v>
      </c>
      <c r="R85" s="35"/>
      <c r="S85" s="97"/>
      <c r="T85" s="97"/>
      <c r="U85" s="46"/>
      <c r="W85" s="60" t="s">
        <v>305</v>
      </c>
      <c r="X85" s="35"/>
      <c r="Y85" s="46"/>
      <c r="AA85" s="24"/>
    </row>
    <row r="86" spans="2:27" ht="15.75">
      <c r="B86" s="24"/>
      <c r="D86" s="217"/>
      <c r="E86" s="78" t="s">
        <v>117</v>
      </c>
      <c r="G86" s="34">
        <f t="shared" ca="1" si="2"/>
        <v>1.4E-2</v>
      </c>
      <c r="H86" s="46"/>
      <c r="I86" s="14">
        <v>1.4E-2</v>
      </c>
      <c r="J86" s="14">
        <f>K86</f>
        <v>0</v>
      </c>
      <c r="K86" s="14">
        <v>0</v>
      </c>
      <c r="M86" s="28"/>
      <c r="P86" s="24"/>
      <c r="Q86" s="100" t="s">
        <v>157</v>
      </c>
      <c r="R86" s="35"/>
      <c r="S86" s="140" t="s">
        <v>226</v>
      </c>
      <c r="T86" s="140" t="s">
        <v>227</v>
      </c>
      <c r="U86" s="141" t="s">
        <v>228</v>
      </c>
      <c r="W86" s="79" t="s">
        <v>194</v>
      </c>
      <c r="X86" s="105" t="s">
        <v>155</v>
      </c>
      <c r="Y86" s="105" t="s">
        <v>181</v>
      </c>
      <c r="AA86" s="24"/>
    </row>
    <row r="87" spans="2:27">
      <c r="B87" s="24"/>
      <c r="D87" s="218"/>
      <c r="E87" s="39" t="s">
        <v>50</v>
      </c>
      <c r="F87" s="73"/>
      <c r="G87" s="34">
        <f t="shared" ca="1" si="2"/>
        <v>0.504</v>
      </c>
      <c r="H87" s="46"/>
      <c r="I87" s="14">
        <v>0.504</v>
      </c>
      <c r="J87" s="14">
        <v>9.8770000000000007</v>
      </c>
      <c r="K87" s="14">
        <v>1.73</v>
      </c>
      <c r="M87" s="28"/>
      <c r="P87" s="24"/>
      <c r="Q87" s="51" t="s">
        <v>158</v>
      </c>
      <c r="R87" s="35"/>
      <c r="S87" s="15">
        <v>108</v>
      </c>
      <c r="T87" s="15">
        <v>68</v>
      </c>
      <c r="U87" s="15">
        <v>2.1000000000000001E-2</v>
      </c>
      <c r="W87" s="79" t="s">
        <v>191</v>
      </c>
      <c r="X87" s="15">
        <v>0.5</v>
      </c>
      <c r="Y87" s="15">
        <v>0.5</v>
      </c>
      <c r="AA87" s="24"/>
    </row>
    <row r="88" spans="2:27" ht="12.75" customHeight="1">
      <c r="B88" s="24"/>
      <c r="D88" s="210" t="s">
        <v>118</v>
      </c>
      <c r="E88" s="31" t="s">
        <v>20</v>
      </c>
      <c r="F88" s="49"/>
      <c r="G88" s="34">
        <f t="shared" ca="1" si="2"/>
        <v>3.8803504238033625E-5</v>
      </c>
      <c r="H88" s="46"/>
      <c r="I88" s="4">
        <f>EXP(-10.157)</f>
        <v>3.8803504238033625E-5</v>
      </c>
      <c r="J88" s="4">
        <f>EXP(-6.551)</f>
        <v>1.4286861975290723E-3</v>
      </c>
      <c r="K88" s="4">
        <f>EXP(-8.156)</f>
        <v>2.8700813432800711E-4</v>
      </c>
      <c r="M88" s="28"/>
      <c r="P88" s="24"/>
      <c r="Q88" s="51" t="s">
        <v>159</v>
      </c>
      <c r="R88" s="35"/>
      <c r="S88" s="15">
        <v>108</v>
      </c>
      <c r="T88" s="15">
        <v>68</v>
      </c>
      <c r="U88" s="15">
        <v>2.1000000000000001E-2</v>
      </c>
      <c r="W88" s="79" t="s">
        <v>192</v>
      </c>
      <c r="X88" s="15">
        <v>0.4</v>
      </c>
      <c r="Y88" s="15">
        <v>0.45</v>
      </c>
      <c r="AA88" s="24"/>
    </row>
    <row r="89" spans="2:27">
      <c r="B89" s="24"/>
      <c r="D89" s="211"/>
      <c r="E89" s="56" t="s">
        <v>21</v>
      </c>
      <c r="F89" s="63"/>
      <c r="G89" s="34">
        <f t="shared" ca="1" si="2"/>
        <v>0.83399999999999996</v>
      </c>
      <c r="H89" s="46"/>
      <c r="I89" s="14">
        <v>0.83399999999999996</v>
      </c>
      <c r="J89" s="14">
        <v>0.38700000000000001</v>
      </c>
      <c r="K89" s="14">
        <v>0.63300000000000001</v>
      </c>
      <c r="M89" s="28"/>
      <c r="P89" s="24"/>
      <c r="Q89" s="47" t="s">
        <v>160</v>
      </c>
      <c r="R89" s="35"/>
      <c r="S89" s="15">
        <v>206</v>
      </c>
      <c r="T89" s="15">
        <v>62</v>
      </c>
      <c r="U89" s="15">
        <v>6.3E-2</v>
      </c>
      <c r="W89" s="81" t="s">
        <v>193</v>
      </c>
      <c r="X89" s="15">
        <v>0.4</v>
      </c>
      <c r="Y89" s="15">
        <v>0.45</v>
      </c>
      <c r="AA89" s="24"/>
    </row>
    <row r="90" spans="2:27">
      <c r="B90" s="24"/>
      <c r="C90" s="29"/>
      <c r="D90" s="211"/>
      <c r="E90" s="84" t="s">
        <v>69</v>
      </c>
      <c r="F90" s="63"/>
      <c r="G90" s="34">
        <f t="shared" ca="1" si="2"/>
        <v>0</v>
      </c>
      <c r="H90" s="46"/>
      <c r="I90" s="14">
        <v>0</v>
      </c>
      <c r="J90" s="14">
        <v>1.1120000000000001</v>
      </c>
      <c r="K90" s="14">
        <v>0</v>
      </c>
      <c r="M90" s="28"/>
      <c r="P90" s="24"/>
      <c r="Q90" s="51" t="s">
        <v>234</v>
      </c>
      <c r="R90" s="35"/>
      <c r="S90" s="15">
        <v>329</v>
      </c>
      <c r="T90" s="15">
        <v>84</v>
      </c>
      <c r="U90" s="15">
        <v>2.1999999999999999E-2</v>
      </c>
      <c r="AA90" s="24"/>
    </row>
    <row r="91" spans="2:27">
      <c r="B91" s="24"/>
      <c r="D91" s="211"/>
      <c r="E91" s="56" t="s">
        <v>18</v>
      </c>
      <c r="F91" s="63"/>
      <c r="G91" s="34">
        <f t="shared" ca="1" si="2"/>
        <v>0</v>
      </c>
      <c r="H91" s="46"/>
      <c r="I91" s="14">
        <v>0</v>
      </c>
      <c r="J91" s="14">
        <v>0</v>
      </c>
      <c r="K91" s="14">
        <v>0</v>
      </c>
      <c r="M91" s="28"/>
      <c r="P91" s="24"/>
      <c r="Q91" s="51" t="s">
        <v>235</v>
      </c>
      <c r="R91" s="35"/>
      <c r="S91" s="15">
        <v>196</v>
      </c>
      <c r="T91" s="15">
        <v>79</v>
      </c>
      <c r="U91" s="15">
        <v>0.05</v>
      </c>
      <c r="W91" s="192" t="s">
        <v>215</v>
      </c>
      <c r="X91" s="32"/>
      <c r="Y91" s="46"/>
      <c r="AA91" s="24"/>
    </row>
    <row r="92" spans="2:27" ht="12.75" customHeight="1">
      <c r="B92" s="24"/>
      <c r="C92" s="112"/>
      <c r="D92" s="211"/>
      <c r="E92" s="84" t="s">
        <v>19</v>
      </c>
      <c r="F92" s="63"/>
      <c r="G92" s="34">
        <f t="shared" ca="1" si="2"/>
        <v>-5.7000000000000002E-2</v>
      </c>
      <c r="H92" s="46"/>
      <c r="I92" s="14">
        <v>-5.7000000000000002E-2</v>
      </c>
      <c r="J92" s="14">
        <v>0</v>
      </c>
      <c r="K92" s="14">
        <v>0</v>
      </c>
      <c r="M92" s="28"/>
      <c r="P92" s="24"/>
      <c r="Q92" s="51" t="s">
        <v>161</v>
      </c>
      <c r="R92" s="46"/>
      <c r="S92" s="15">
        <v>150</v>
      </c>
      <c r="T92" s="15">
        <v>50</v>
      </c>
      <c r="U92" s="15">
        <v>1.7999999999999999E-2</v>
      </c>
      <c r="W92" s="47" t="s">
        <v>256</v>
      </c>
      <c r="X92" s="46"/>
      <c r="Y92" s="33" t="s">
        <v>209</v>
      </c>
      <c r="AA92" s="24"/>
    </row>
    <row r="93" spans="2:27" ht="12.75" customHeight="1">
      <c r="B93" s="24"/>
      <c r="C93" s="29"/>
      <c r="D93" s="211"/>
      <c r="E93" s="72" t="s">
        <v>24</v>
      </c>
      <c r="F93" s="63"/>
      <c r="G93" s="34">
        <f t="shared" ca="1" si="2"/>
        <v>-3.7999999999999999E-2</v>
      </c>
      <c r="H93" s="46"/>
      <c r="I93" s="14">
        <v>-3.7999999999999999E-2</v>
      </c>
      <c r="J93" s="14">
        <v>-4.7E-2</v>
      </c>
      <c r="K93" s="14">
        <v>-3.3000000000000002E-2</v>
      </c>
      <c r="M93" s="28"/>
      <c r="P93" s="24"/>
      <c r="Q93" s="47" t="s">
        <v>238</v>
      </c>
      <c r="R93" s="46"/>
      <c r="S93" s="15">
        <v>455</v>
      </c>
      <c r="T93" s="15">
        <v>24</v>
      </c>
      <c r="U93" s="15">
        <v>6.0000000000000001E-3</v>
      </c>
      <c r="W93" s="191" t="s">
        <v>151</v>
      </c>
      <c r="X93" s="46"/>
      <c r="Y93" s="151">
        <v>-0.45200000000000001</v>
      </c>
      <c r="AA93" s="24"/>
    </row>
    <row r="94" spans="2:27" ht="12.75" customHeight="1">
      <c r="B94" s="24"/>
      <c r="C94" s="29"/>
      <c r="D94" s="211"/>
      <c r="E94" s="113" t="s">
        <v>117</v>
      </c>
      <c r="F94" s="63"/>
      <c r="G94" s="34">
        <f t="shared" ca="1" si="2"/>
        <v>3.2000000000000001E-2</v>
      </c>
      <c r="H94" s="46"/>
      <c r="I94" s="14">
        <v>3.2000000000000001E-2</v>
      </c>
      <c r="J94" s="14">
        <f>K94</f>
        <v>1.4E-2</v>
      </c>
      <c r="K94" s="14">
        <v>1.4E-2</v>
      </c>
      <c r="M94" s="28"/>
      <c r="P94" s="24"/>
      <c r="Q94" s="47" t="s">
        <v>236</v>
      </c>
      <c r="R94" s="46"/>
      <c r="S94" s="15">
        <v>622</v>
      </c>
      <c r="T94" s="15">
        <v>150</v>
      </c>
      <c r="U94" s="15">
        <v>4.7E-2</v>
      </c>
      <c r="W94" s="191" t="s">
        <v>152</v>
      </c>
      <c r="X94" s="46"/>
      <c r="Y94" s="15">
        <v>-58.95</v>
      </c>
      <c r="AA94" s="24"/>
    </row>
    <row r="95" spans="2:27">
      <c r="B95" s="24"/>
      <c r="C95" s="29"/>
      <c r="D95" s="212"/>
      <c r="E95" s="39" t="s">
        <v>50</v>
      </c>
      <c r="F95" s="73"/>
      <c r="G95" s="34">
        <f t="shared" ca="1" si="2"/>
        <v>0.224</v>
      </c>
      <c r="H95" s="46"/>
      <c r="I95" s="14">
        <v>0.224</v>
      </c>
      <c r="J95" s="14">
        <v>0.81599999999999995</v>
      </c>
      <c r="K95" s="14">
        <v>0.378</v>
      </c>
      <c r="M95" s="28"/>
      <c r="P95" s="24"/>
      <c r="Q95" s="47" t="s">
        <v>237</v>
      </c>
      <c r="R95" s="46"/>
      <c r="S95" s="15">
        <v>176</v>
      </c>
      <c r="T95" s="15">
        <v>102</v>
      </c>
      <c r="U95" s="15">
        <v>0.02</v>
      </c>
      <c r="V95" s="29"/>
      <c r="W95" s="191" t="s">
        <v>153</v>
      </c>
      <c r="X95" s="46"/>
      <c r="Y95" s="15">
        <f>5.834*10^-6</f>
        <v>5.8339999999999995E-6</v>
      </c>
      <c r="AA95" s="24"/>
    </row>
    <row r="96" spans="2:27">
      <c r="B96" s="24"/>
      <c r="C96" s="29"/>
      <c r="M96" s="28"/>
      <c r="P96" s="24"/>
      <c r="V96" s="29"/>
      <c r="AA96" s="24"/>
    </row>
    <row r="97" spans="2:27">
      <c r="B97" s="24"/>
      <c r="C97" s="29"/>
      <c r="D97" s="60" t="s">
        <v>307</v>
      </c>
      <c r="E97" s="35"/>
      <c r="F97" s="35"/>
      <c r="G97" s="46"/>
      <c r="I97" s="60" t="s">
        <v>213</v>
      </c>
      <c r="J97" s="35"/>
      <c r="K97" s="35"/>
      <c r="L97" s="46"/>
      <c r="M97" s="28"/>
      <c r="P97" s="24"/>
      <c r="Q97" s="108" t="s">
        <v>245</v>
      </c>
      <c r="R97" s="35"/>
      <c r="S97" s="35"/>
      <c r="T97" s="35"/>
      <c r="U97" s="35"/>
      <c r="V97" s="46"/>
      <c r="AA97" s="24"/>
    </row>
    <row r="98" spans="2:27">
      <c r="B98" s="24"/>
      <c r="C98" s="29"/>
      <c r="D98" s="79" t="s">
        <v>199</v>
      </c>
      <c r="E98" s="214" t="s">
        <v>200</v>
      </c>
      <c r="F98" s="215"/>
      <c r="G98" s="105" t="s">
        <v>201</v>
      </c>
      <c r="I98" s="31"/>
      <c r="J98" s="32"/>
      <c r="K98" s="103" t="s">
        <v>66</v>
      </c>
      <c r="L98" s="4">
        <v>50</v>
      </c>
      <c r="M98" s="28"/>
      <c r="P98" s="24"/>
      <c r="Q98" s="81" t="s">
        <v>239</v>
      </c>
      <c r="R98" s="79" t="s">
        <v>246</v>
      </c>
      <c r="S98" s="79" t="s">
        <v>249</v>
      </c>
      <c r="T98" s="149" t="s">
        <v>247</v>
      </c>
      <c r="U98" s="149" t="s">
        <v>248</v>
      </c>
      <c r="V98" s="105" t="s">
        <v>253</v>
      </c>
      <c r="AA98" s="24"/>
    </row>
    <row r="99" spans="2:27" ht="15.75">
      <c r="B99" s="24"/>
      <c r="C99" s="29"/>
      <c r="D99" s="79" t="s">
        <v>23</v>
      </c>
      <c r="E99" s="213">
        <v>9100000</v>
      </c>
      <c r="F99" s="213"/>
      <c r="G99" s="18">
        <v>3.3500000000000002E-2</v>
      </c>
      <c r="I99" s="72"/>
      <c r="J99" s="29"/>
      <c r="K99" s="104" t="s">
        <v>4</v>
      </c>
      <c r="L99" s="4">
        <v>1.1499999999999999</v>
      </c>
      <c r="M99" s="28"/>
      <c r="P99" s="24"/>
      <c r="Q99" s="79" t="s">
        <v>240</v>
      </c>
      <c r="R99" s="150" t="s">
        <v>250</v>
      </c>
      <c r="S99" s="15">
        <v>21.8</v>
      </c>
      <c r="T99" s="15">
        <v>2.5999999999999999E-2</v>
      </c>
      <c r="U99" s="15">
        <v>0</v>
      </c>
      <c r="V99" s="15">
        <v>0.87</v>
      </c>
      <c r="AA99" s="24"/>
    </row>
    <row r="100" spans="2:27" ht="15.75">
      <c r="B100" s="24"/>
      <c r="C100" s="29"/>
      <c r="D100" s="81" t="s">
        <v>151</v>
      </c>
      <c r="E100" s="213">
        <v>3908450</v>
      </c>
      <c r="F100" s="213"/>
      <c r="G100" s="18">
        <v>6.2600000000000003E-2</v>
      </c>
      <c r="I100" s="72"/>
      <c r="J100" s="29"/>
      <c r="K100" s="104" t="s">
        <v>5</v>
      </c>
      <c r="L100" s="4">
        <v>3</v>
      </c>
      <c r="M100" s="28"/>
      <c r="P100" s="24"/>
      <c r="Q100" s="79" t="s">
        <v>240</v>
      </c>
      <c r="R100" s="150" t="s">
        <v>251</v>
      </c>
      <c r="S100" s="15">
        <v>5.6</v>
      </c>
      <c r="T100" s="15">
        <v>0</v>
      </c>
      <c r="U100" s="15">
        <v>0</v>
      </c>
      <c r="V100" s="15">
        <v>0</v>
      </c>
      <c r="AA100" s="24"/>
    </row>
    <row r="101" spans="2:27" ht="15.75">
      <c r="B101" s="24"/>
      <c r="C101" s="29"/>
      <c r="D101" s="81" t="s">
        <v>152</v>
      </c>
      <c r="E101" s="213">
        <v>691600</v>
      </c>
      <c r="F101" s="213"/>
      <c r="G101" s="18">
        <v>0.15670000000000001</v>
      </c>
      <c r="I101" s="72"/>
      <c r="J101" s="29"/>
      <c r="K101" s="147" t="s">
        <v>244</v>
      </c>
      <c r="L101" s="4">
        <v>0.5</v>
      </c>
      <c r="M101" s="28"/>
      <c r="P101" s="24"/>
      <c r="Q101" s="79" t="s">
        <v>240</v>
      </c>
      <c r="R101" s="150" t="s">
        <v>252</v>
      </c>
      <c r="S101" s="15">
        <v>0</v>
      </c>
      <c r="T101" s="15">
        <v>0</v>
      </c>
      <c r="U101" s="15">
        <v>0.01</v>
      </c>
      <c r="V101" s="15">
        <v>0</v>
      </c>
      <c r="Z101" s="29"/>
      <c r="AA101" s="24"/>
    </row>
    <row r="102" spans="2:27" ht="15.75">
      <c r="B102" s="24"/>
      <c r="C102" s="29"/>
      <c r="D102" s="81" t="s">
        <v>153</v>
      </c>
      <c r="E102" s="213">
        <v>27300</v>
      </c>
      <c r="F102" s="213"/>
      <c r="G102" s="18">
        <v>0.1449</v>
      </c>
      <c r="I102" s="106"/>
      <c r="J102" s="29"/>
      <c r="K102" s="104" t="s">
        <v>48</v>
      </c>
      <c r="L102" s="4">
        <v>0.2</v>
      </c>
      <c r="M102" s="28"/>
      <c r="P102" s="24"/>
      <c r="Q102" s="79" t="s">
        <v>241</v>
      </c>
      <c r="R102" s="150" t="s">
        <v>250</v>
      </c>
      <c r="S102" s="15">
        <v>11.9</v>
      </c>
      <c r="T102" s="15">
        <v>0.09</v>
      </c>
      <c r="U102" s="15">
        <v>0</v>
      </c>
      <c r="V102" s="15">
        <v>0</v>
      </c>
      <c r="Z102" s="29"/>
      <c r="AA102" s="24"/>
    </row>
    <row r="103" spans="2:27" ht="15.75">
      <c r="B103" s="24"/>
      <c r="C103" s="29"/>
      <c r="D103" s="81" t="s">
        <v>174</v>
      </c>
      <c r="E103" s="213">
        <v>10350</v>
      </c>
      <c r="F103" s="213"/>
      <c r="G103" s="18">
        <f>1-SUM(G99:G102)</f>
        <v>0.60229999999999995</v>
      </c>
      <c r="I103" s="106"/>
      <c r="J103" s="29"/>
      <c r="K103" s="104" t="s">
        <v>49</v>
      </c>
      <c r="L103" s="4">
        <v>1.1200000000000001</v>
      </c>
      <c r="M103" s="28"/>
      <c r="P103" s="24"/>
      <c r="Q103" s="79" t="s">
        <v>241</v>
      </c>
      <c r="R103" s="150" t="s">
        <v>251</v>
      </c>
      <c r="S103" s="15">
        <v>25.3</v>
      </c>
      <c r="T103" s="15">
        <v>0</v>
      </c>
      <c r="U103" s="15">
        <v>0</v>
      </c>
      <c r="V103" s="15">
        <v>0</v>
      </c>
      <c r="Z103" s="29"/>
      <c r="AA103" s="24"/>
    </row>
    <row r="104" spans="2:27" ht="15.75">
      <c r="B104" s="24"/>
      <c r="C104" s="29"/>
      <c r="D104" s="29"/>
      <c r="E104" s="29"/>
      <c r="F104" s="29"/>
      <c r="I104" s="41"/>
      <c r="J104" s="40"/>
      <c r="K104" s="107" t="s">
        <v>65</v>
      </c>
      <c r="L104" s="4">
        <v>1.4999999999999999E-2</v>
      </c>
      <c r="M104" s="28"/>
      <c r="P104" s="24"/>
      <c r="Q104" s="79" t="s">
        <v>241</v>
      </c>
      <c r="R104" s="150" t="s">
        <v>252</v>
      </c>
      <c r="S104" s="15">
        <v>0</v>
      </c>
      <c r="T104" s="15">
        <v>0</v>
      </c>
      <c r="U104" s="15">
        <v>8.0000000000000002E-3</v>
      </c>
      <c r="V104" s="15">
        <v>0</v>
      </c>
      <c r="Z104" s="29"/>
      <c r="AA104" s="24"/>
    </row>
    <row r="105" spans="2:27" ht="15.75">
      <c r="B105" s="24"/>
      <c r="C105" s="29"/>
      <c r="D105" s="29"/>
      <c r="E105" s="29"/>
      <c r="F105" s="29"/>
      <c r="M105" s="28"/>
      <c r="P105" s="24"/>
      <c r="Q105" s="79" t="s">
        <v>242</v>
      </c>
      <c r="R105" s="150" t="s">
        <v>250</v>
      </c>
      <c r="S105" s="15">
        <v>54.2</v>
      </c>
      <c r="T105" s="15">
        <v>6.0000000000000001E-3</v>
      </c>
      <c r="U105" s="15">
        <v>0</v>
      </c>
      <c r="V105" s="15">
        <v>0</v>
      </c>
      <c r="Z105" s="29"/>
      <c r="AA105" s="24"/>
    </row>
    <row r="106" spans="2:27" ht="15.75">
      <c r="B106" s="24"/>
      <c r="C106" s="29"/>
      <c r="D106" s="29"/>
      <c r="E106" s="29"/>
      <c r="F106" s="29"/>
      <c r="M106" s="28"/>
      <c r="P106" s="24"/>
      <c r="Q106" s="79" t="s">
        <v>242</v>
      </c>
      <c r="R106" s="150" t="s">
        <v>251</v>
      </c>
      <c r="S106" s="15">
        <v>0</v>
      </c>
      <c r="T106" s="15">
        <v>0.1</v>
      </c>
      <c r="U106" s="15">
        <v>0</v>
      </c>
      <c r="V106" s="15">
        <v>0</v>
      </c>
      <c r="Z106" s="29"/>
      <c r="AA106" s="24"/>
    </row>
    <row r="107" spans="2:27" ht="15.75">
      <c r="B107" s="24"/>
      <c r="C107" s="29"/>
      <c r="D107" s="29"/>
      <c r="E107" s="29"/>
      <c r="F107" s="29"/>
      <c r="G107" s="29"/>
      <c r="H107" s="29"/>
      <c r="I107" s="29"/>
      <c r="J107" s="29"/>
      <c r="K107" s="29"/>
      <c r="L107" s="89" t="s">
        <v>86</v>
      </c>
      <c r="M107" s="28"/>
      <c r="P107" s="24"/>
      <c r="Q107" s="79" t="s">
        <v>242</v>
      </c>
      <c r="R107" s="150" t="s">
        <v>252</v>
      </c>
      <c r="S107" s="15">
        <v>0</v>
      </c>
      <c r="T107" s="15">
        <v>0</v>
      </c>
      <c r="U107" s="15">
        <v>9.5000000000000001E-2</v>
      </c>
      <c r="V107" s="15">
        <v>0</v>
      </c>
      <c r="W107" s="29"/>
      <c r="X107" s="29"/>
      <c r="Y107" s="29"/>
      <c r="Z107" s="89" t="s">
        <v>87</v>
      </c>
      <c r="AA107" s="24"/>
    </row>
    <row r="108" spans="2:27" ht="3.75" customHeight="1" thickBot="1">
      <c r="B108" s="90"/>
      <c r="C108" s="91"/>
      <c r="D108" s="91"/>
      <c r="E108" s="91"/>
      <c r="F108" s="91"/>
      <c r="G108" s="91"/>
      <c r="H108" s="91"/>
      <c r="I108" s="91"/>
      <c r="J108" s="91"/>
      <c r="K108" s="91"/>
      <c r="L108" s="91"/>
      <c r="M108" s="92"/>
      <c r="P108" s="90"/>
      <c r="Q108" s="91"/>
      <c r="R108" s="91"/>
      <c r="S108" s="91"/>
      <c r="T108" s="91"/>
      <c r="U108" s="91"/>
      <c r="V108" s="91"/>
      <c r="W108" s="91"/>
      <c r="X108" s="91"/>
      <c r="Y108" s="91"/>
      <c r="Z108" s="91"/>
      <c r="AA108" s="24"/>
    </row>
    <row r="109" spans="2:27" ht="3.75" customHeight="1"/>
    <row r="110" spans="2:27" ht="3.75" customHeight="1" thickBot="1"/>
    <row r="111" spans="2:27" ht="3.75" customHeight="1">
      <c r="B111" s="20"/>
      <c r="C111" s="93"/>
      <c r="D111" s="93"/>
      <c r="E111" s="93"/>
      <c r="F111" s="93"/>
      <c r="G111" s="93"/>
      <c r="H111" s="93"/>
      <c r="I111" s="93"/>
      <c r="J111" s="93"/>
      <c r="K111" s="93"/>
      <c r="L111" s="93"/>
      <c r="M111" s="21"/>
      <c r="P111" s="20"/>
      <c r="Q111" s="93"/>
      <c r="R111" s="93"/>
      <c r="S111" s="93"/>
      <c r="T111" s="93"/>
      <c r="U111" s="93"/>
      <c r="V111" s="93"/>
      <c r="W111" s="93"/>
      <c r="X111" s="93"/>
      <c r="Y111" s="93"/>
      <c r="Z111" s="21"/>
    </row>
    <row r="112" spans="2:27">
      <c r="B112" s="24"/>
      <c r="C112" s="94" t="s">
        <v>64</v>
      </c>
      <c r="M112" s="28"/>
      <c r="P112" s="24"/>
      <c r="Q112" s="94" t="s">
        <v>64</v>
      </c>
      <c r="R112" s="29"/>
      <c r="S112" s="29"/>
      <c r="T112" s="29"/>
      <c r="U112" s="29"/>
      <c r="V112" s="29"/>
      <c r="W112" s="29"/>
      <c r="X112" s="29"/>
      <c r="Y112" s="29"/>
      <c r="Z112" s="28"/>
    </row>
    <row r="113" spans="2:26">
      <c r="B113" s="24"/>
      <c r="C113" s="64" t="s">
        <v>124</v>
      </c>
      <c r="E113" s="29"/>
      <c r="F113" s="114" t="s">
        <v>71</v>
      </c>
      <c r="G113" s="37" t="s">
        <v>68</v>
      </c>
      <c r="I113" s="114" t="s">
        <v>71</v>
      </c>
      <c r="J113" s="37" t="s">
        <v>68</v>
      </c>
      <c r="K113" s="114" t="s">
        <v>71</v>
      </c>
      <c r="L113" s="37" t="s">
        <v>68</v>
      </c>
      <c r="M113" s="28"/>
      <c r="P113" s="24"/>
      <c r="Q113" s="96" t="s">
        <v>179</v>
      </c>
      <c r="R113" s="97"/>
      <c r="S113" s="97"/>
      <c r="T113" s="97"/>
      <c r="U113" s="46"/>
      <c r="V113" s="60" t="s">
        <v>189</v>
      </c>
      <c r="W113" s="35"/>
      <c r="X113" s="35"/>
      <c r="Y113" s="46"/>
      <c r="Z113" s="28"/>
    </row>
    <row r="114" spans="2:26">
      <c r="B114" s="24"/>
      <c r="C114" s="64" t="s">
        <v>125</v>
      </c>
      <c r="F114" s="114" t="s">
        <v>40</v>
      </c>
      <c r="G114" s="114" t="s">
        <v>40</v>
      </c>
      <c r="I114" s="37" t="s">
        <v>41</v>
      </c>
      <c r="J114" s="37" t="s">
        <v>41</v>
      </c>
      <c r="K114" s="37" t="s">
        <v>136</v>
      </c>
      <c r="L114" s="37" t="s">
        <v>136</v>
      </c>
      <c r="M114" s="28"/>
      <c r="P114" s="24"/>
      <c r="Q114" s="115" t="s">
        <v>243</v>
      </c>
      <c r="R114" s="111" t="s">
        <v>276</v>
      </c>
      <c r="S114" s="111" t="s">
        <v>170</v>
      </c>
      <c r="T114" s="111" t="s">
        <v>154</v>
      </c>
      <c r="U114" s="116" t="s">
        <v>180</v>
      </c>
      <c r="V114" s="116" t="s">
        <v>187</v>
      </c>
      <c r="W114" s="79" t="s">
        <v>257</v>
      </c>
      <c r="X114" s="117" t="s">
        <v>188</v>
      </c>
      <c r="Y114" s="116" t="s">
        <v>196</v>
      </c>
      <c r="Z114" s="28"/>
    </row>
    <row r="115" spans="2:26">
      <c r="B115" s="24"/>
      <c r="C115" s="101" t="s">
        <v>138</v>
      </c>
      <c r="E115" s="29" t="s">
        <v>2</v>
      </c>
      <c r="F115" s="37">
        <f>IF(ISBLANK(F25),L101*F26,F25)</f>
        <v>4.5</v>
      </c>
      <c r="G115" s="37">
        <f>IF(ISBLANK(F28),L101*F29,F28)</f>
        <v>6.5</v>
      </c>
      <c r="I115" s="37">
        <f>IF(ISBLANK(G25),L101*G26,G25)</f>
        <v>6.5</v>
      </c>
      <c r="J115" s="37">
        <f>IF(ISBLANK(G28),L101*G29,G28)</f>
        <v>8.5</v>
      </c>
      <c r="K115" s="37">
        <f>IF(ISBLANK(G25),L101*G26,G25)</f>
        <v>6.5</v>
      </c>
      <c r="L115" s="37">
        <f>IF(ISBLANK(G28),L101*G29,G28)</f>
        <v>8.5</v>
      </c>
      <c r="M115" s="28"/>
      <c r="P115" s="24"/>
      <c r="Q115" s="105" t="s">
        <v>40</v>
      </c>
      <c r="R115" s="176">
        <f>G9</f>
        <v>18000</v>
      </c>
      <c r="S115" s="98"/>
      <c r="T115" s="98"/>
      <c r="U115" s="118">
        <f>G32</f>
        <v>30</v>
      </c>
      <c r="V115" s="119">
        <f t="shared" ref="V115:V136" si="3">EXP(I$69*(U115-I$62))</f>
        <v>1.0941742837052104</v>
      </c>
      <c r="W115" s="119">
        <f ca="1">K$11/IF(ISBLANK(G$43),G$41,G$42)</f>
        <v>0.99629011075205298</v>
      </c>
      <c r="X115" s="119">
        <v>0</v>
      </c>
      <c r="Y115" s="120">
        <v>0</v>
      </c>
      <c r="Z115" s="28"/>
    </row>
    <row r="116" spans="2:26">
      <c r="B116" s="24"/>
      <c r="C116" s="101" t="s">
        <v>137</v>
      </c>
      <c r="E116" s="19" t="s">
        <v>11</v>
      </c>
      <c r="F116" s="37">
        <f>F26</f>
        <v>6</v>
      </c>
      <c r="G116" s="37">
        <f>F29</f>
        <v>8</v>
      </c>
      <c r="I116" s="37">
        <f>G26</f>
        <v>8</v>
      </c>
      <c r="J116" s="37">
        <f>G29</f>
        <v>10</v>
      </c>
      <c r="K116" s="37">
        <f>G26</f>
        <v>8</v>
      </c>
      <c r="L116" s="37">
        <f>G29</f>
        <v>10</v>
      </c>
      <c r="M116" s="28"/>
      <c r="P116" s="24"/>
      <c r="Q116" s="98">
        <v>0</v>
      </c>
      <c r="R116" s="177">
        <f>R$115*(1+G$11/100)^Q116</f>
        <v>18000</v>
      </c>
      <c r="S116" s="177">
        <f t="shared" ref="S116:S136" si="4">Q116*(R116*(100-G$10)*T$155+R116*G$10*T$156)/100</f>
        <v>0</v>
      </c>
      <c r="T116" s="152">
        <f t="shared" ref="T116:T136" si="5">S116*10^(1/(Y$93+0.07*Y$94+Y$95/0.07))</f>
        <v>0</v>
      </c>
      <c r="U116" s="118">
        <f t="shared" ref="U116:U136" si="6">W$146+W$147*EXP(-W$148*T116)</f>
        <v>41.580900000000007</v>
      </c>
      <c r="V116" s="119">
        <f t="shared" si="3"/>
        <v>0.98587264106420047</v>
      </c>
      <c r="W116" s="119">
        <f t="shared" ref="W116:W136" ca="1" si="7">L$11/G$41/L$23*V116</f>
        <v>0.91520958283751308</v>
      </c>
      <c r="X116" s="119">
        <f ca="1">W116-W$115</f>
        <v>-8.1080527914539902E-2</v>
      </c>
      <c r="Y116" s="120">
        <f t="shared" ref="Y116:Y136" ca="1" si="8">(-X116*K$42)/(1+G$38)^Q116</f>
        <v>54168.462736541544</v>
      </c>
      <c r="Z116" s="28"/>
    </row>
    <row r="117" spans="2:26">
      <c r="B117" s="24"/>
      <c r="E117" s="29" t="s">
        <v>3</v>
      </c>
      <c r="F117" s="37">
        <f>IF(ISBLANK(F27),L101*F26,F27)</f>
        <v>4.5</v>
      </c>
      <c r="G117" s="37">
        <f>IF(ISBLANK(F30),L101*F29,F30)</f>
        <v>6.5</v>
      </c>
      <c r="I117" s="37">
        <f>IF(ISBLANK(G27),L101*G26,G27)</f>
        <v>6.5</v>
      </c>
      <c r="J117" s="37">
        <f>IF(ISBLANK(G30),L101*G29,G30)</f>
        <v>8.5</v>
      </c>
      <c r="K117" s="37">
        <f>IF(ISBLANK(G27),L101*G26,G27)</f>
        <v>6.5</v>
      </c>
      <c r="L117" s="37">
        <f>IF(ISBLANK(G30),L101*G29,G30)</f>
        <v>8.5</v>
      </c>
      <c r="M117" s="28"/>
      <c r="P117" s="24"/>
      <c r="Q117" s="98">
        <v>1</v>
      </c>
      <c r="R117" s="177">
        <f t="shared" ref="R117:R136" si="9">R$115*(1+G$11/100)^Q117</f>
        <v>18360</v>
      </c>
      <c r="S117" s="177">
        <f t="shared" si="4"/>
        <v>9180</v>
      </c>
      <c r="T117" s="152">
        <f t="shared" si="5"/>
        <v>5551.7073087758909</v>
      </c>
      <c r="U117" s="118">
        <f t="shared" si="6"/>
        <v>39.572615749703459</v>
      </c>
      <c r="V117" s="119">
        <f t="shared" si="3"/>
        <v>1.0038538653672209</v>
      </c>
      <c r="W117" s="119">
        <f t="shared" ca="1" si="7"/>
        <v>0.93190199127630591</v>
      </c>
      <c r="X117" s="119">
        <f t="shared" ref="X117:X136" ca="1" si="10">W117-W$115</f>
        <v>-6.4388119475747074E-2</v>
      </c>
      <c r="Y117" s="120">
        <f t="shared" ca="1" si="8"/>
        <v>41763.651163541472</v>
      </c>
      <c r="Z117" s="28"/>
    </row>
    <row r="118" spans="2:26">
      <c r="B118" s="24"/>
      <c r="C118" s="19" t="s">
        <v>88</v>
      </c>
      <c r="E118" s="29" t="s">
        <v>2</v>
      </c>
      <c r="F118" s="83">
        <f>MIN(F119+F121,$L150)</f>
        <v>57.212794805644805</v>
      </c>
      <c r="G118" s="83">
        <f>MIN(G119+G121,$L150)</f>
        <v>57.573081738253755</v>
      </c>
      <c r="I118" s="83">
        <f>MIN(I119+I121,$L150)</f>
        <v>57.573081738253755</v>
      </c>
      <c r="J118" s="83">
        <f>MIN(J119+J121,$L150)</f>
        <v>57.957247143990202</v>
      </c>
      <c r="K118" s="83">
        <f>MIN(K119+K121,$L150)</f>
        <v>57.573081738253755</v>
      </c>
      <c r="L118" s="83">
        <f>MIN(L119+L121,$L150)</f>
        <v>57.957247143990202</v>
      </c>
      <c r="M118" s="28"/>
      <c r="P118" s="24"/>
      <c r="Q118" s="98">
        <v>2</v>
      </c>
      <c r="R118" s="177">
        <f t="shared" si="9"/>
        <v>18727.2</v>
      </c>
      <c r="S118" s="177">
        <f t="shared" si="4"/>
        <v>18727.2</v>
      </c>
      <c r="T118" s="152">
        <f t="shared" si="5"/>
        <v>11325.482909902817</v>
      </c>
      <c r="U118" s="118">
        <f t="shared" si="6"/>
        <v>38.243982823462787</v>
      </c>
      <c r="V118" s="119">
        <f t="shared" si="3"/>
        <v>1.0159297007516566</v>
      </c>
      <c r="W118" s="119">
        <f t="shared" ca="1" si="7"/>
        <v>0.94311228336096486</v>
      </c>
      <c r="X118" s="119">
        <f t="shared" ca="1" si="10"/>
        <v>-5.3177827391088117E-2</v>
      </c>
      <c r="Y118" s="120">
        <f t="shared" ca="1" si="8"/>
        <v>33487.758856835884</v>
      </c>
      <c r="Z118" s="28"/>
    </row>
    <row r="119" spans="2:26">
      <c r="B119" s="24"/>
      <c r="E119" s="19" t="s">
        <v>11</v>
      </c>
      <c r="F119" s="83">
        <f>SQRT((15*$L152*($Y75-$Y76*(5280/3600*$L150)+0.001*$Y77*(5280/3600*$L150)^2+F116/100))/(1+0.0322*$L152*$Y77))</f>
        <v>48.177976959232296</v>
      </c>
      <c r="G119" s="83">
        <f>SQRT((15*$L152*($Y75-$Y76*(5280/3600*$L150)+0.001*$Y77*(5280/3600*$L150)^2+G116/100))/(1+0.0322*$L152*$Y77))</f>
        <v>49.44386786633671</v>
      </c>
      <c r="I119" s="83">
        <f>SQRT((15*$L152*($Y75-$Y76*(5280/3600*$L150)+0.001*$Y77*(5280/3600*$L150)^2+I116/100))/(1+0.0322*$L152*$Y77))</f>
        <v>49.44386786633671</v>
      </c>
      <c r="J119" s="83">
        <f>SQRT((15*$L152*($Y75-$Y76*(5280/3600*$L150)+0.001*$Y77*(5280/3600*$L150)^2+J116/100))/(1+0.0322*$L152*$Y77))</f>
        <v>50.678147906994482</v>
      </c>
      <c r="K119" s="83">
        <f>SQRT((15*$L152*($Y75-$Y76*(5280/3600*$L150)+0.001*$Y77*(5280/3600*$L150)^2+K116/100))/(1+0.0322*$L152*$Y77))</f>
        <v>49.44386786633671</v>
      </c>
      <c r="L119" s="83">
        <f>SQRT((15*$L152*($Y75-$Y76*(5280/3600*$L150)+0.001*$Y77*(5280/3600*$L150)^2+L116/100))/(1+0.0322*$L152*$Y77))</f>
        <v>50.678147906994482</v>
      </c>
      <c r="M119" s="28"/>
      <c r="P119" s="24"/>
      <c r="Q119" s="98">
        <v>3</v>
      </c>
      <c r="R119" s="177">
        <f t="shared" si="9"/>
        <v>19101.743999999999</v>
      </c>
      <c r="S119" s="177">
        <f t="shared" si="4"/>
        <v>28652.615999999995</v>
      </c>
      <c r="T119" s="152">
        <f t="shared" si="5"/>
        <v>17327.988852151306</v>
      </c>
      <c r="U119" s="118">
        <f t="shared" si="6"/>
        <v>37.380977356263969</v>
      </c>
      <c r="V119" s="119">
        <f t="shared" si="3"/>
        <v>1.023851200240802</v>
      </c>
      <c r="W119" s="119">
        <f t="shared" ca="1" si="7"/>
        <v>0.95046600425850647</v>
      </c>
      <c r="X119" s="119">
        <f t="shared" ca="1" si="10"/>
        <v>-4.5824106493546513E-2</v>
      </c>
      <c r="Y119" s="120">
        <f t="shared" ca="1" si="8"/>
        <v>28016.39646298642</v>
      </c>
      <c r="Z119" s="28"/>
    </row>
    <row r="120" spans="2:26">
      <c r="B120" s="24"/>
      <c r="E120" s="29" t="s">
        <v>3</v>
      </c>
      <c r="F120" s="83">
        <f>MIN(F119+F122,$L150)</f>
        <v>53.151067300490254</v>
      </c>
      <c r="G120" s="83">
        <f>MIN(G119+G122,$L150)</f>
        <v>55.788773371191326</v>
      </c>
      <c r="I120" s="83">
        <f>MIN(I119+I122,$L150)</f>
        <v>54.182773371191324</v>
      </c>
      <c r="J120" s="83">
        <f>MIN(J119+J122,$L150)</f>
        <v>56.80321785203494</v>
      </c>
      <c r="K120" s="83">
        <f>MIN(K119+K122,$L150)</f>
        <v>54.182773371191324</v>
      </c>
      <c r="L120" s="83">
        <f>MIN(L119+L122,$L150)</f>
        <v>56.80321785203494</v>
      </c>
      <c r="M120" s="28"/>
      <c r="P120" s="24"/>
      <c r="Q120" s="98">
        <v>4</v>
      </c>
      <c r="R120" s="177">
        <f t="shared" si="9"/>
        <v>19483.778879999998</v>
      </c>
      <c r="S120" s="177">
        <f t="shared" si="4"/>
        <v>38967.557759999996</v>
      </c>
      <c r="T120" s="152">
        <f t="shared" si="5"/>
        <v>23566.06483892578</v>
      </c>
      <c r="U120" s="118">
        <f t="shared" si="6"/>
        <v>36.830900289106147</v>
      </c>
      <c r="V120" s="119">
        <f t="shared" si="3"/>
        <v>1.0289325415332642</v>
      </c>
      <c r="W120" s="119">
        <f t="shared" ca="1" si="7"/>
        <v>0.95518313713229164</v>
      </c>
      <c r="X120" s="119">
        <f t="shared" ca="1" si="10"/>
        <v>-4.1106973619761344E-2</v>
      </c>
      <c r="Y120" s="120">
        <f t="shared" ca="1" si="8"/>
        <v>24400.377677350578</v>
      </c>
      <c r="Z120" s="28"/>
    </row>
    <row r="121" spans="2:26">
      <c r="B121" s="24"/>
      <c r="C121" s="19" t="s">
        <v>140</v>
      </c>
      <c r="E121" s="78" t="s">
        <v>16</v>
      </c>
      <c r="F121" s="83">
        <f>$Y78+$Y79*SQRT($L150/F119)+$Y80*180/PI()*100/$G13</f>
        <v>9.0348178464125102</v>
      </c>
      <c r="G121" s="83">
        <f>$Y78+$Y79*SQRT($L150/G119)+$Y80*180/PI()*100/$G13</f>
        <v>8.129213871917047</v>
      </c>
      <c r="I121" s="83">
        <f>$Y78+$Y79*SQRT($L150/I119)+$Y80*180/PI()*100/$G13</f>
        <v>8.129213871917047</v>
      </c>
      <c r="J121" s="83">
        <f>$Y78+$Y79*SQRT($L150/J119)+$Y80*180/PI()*100/$G13</f>
        <v>7.2790992369957213</v>
      </c>
      <c r="K121" s="83">
        <f>$Y78+$Y79*SQRT($L150/K119)+$Y80*180/PI()*100/$G13</f>
        <v>8.129213871917047</v>
      </c>
      <c r="L121" s="83">
        <f>$Y78+$Y79*SQRT($L150/L119)+$Y80*180/PI()*100/$G13</f>
        <v>7.2790992369957213</v>
      </c>
      <c r="M121" s="28"/>
      <c r="P121" s="24"/>
      <c r="Q121" s="98">
        <v>5</v>
      </c>
      <c r="R121" s="177">
        <f t="shared" si="9"/>
        <v>19873.454457600001</v>
      </c>
      <c r="S121" s="177">
        <f t="shared" si="4"/>
        <v>49683.636144000004</v>
      </c>
      <c r="T121" s="152">
        <f t="shared" si="5"/>
        <v>30046.732669630375</v>
      </c>
      <c r="U121" s="118">
        <f t="shared" si="6"/>
        <v>36.487024791881694</v>
      </c>
      <c r="V121" s="119">
        <f t="shared" si="3"/>
        <v>1.0321218965261783</v>
      </c>
      <c r="W121" s="119">
        <f t="shared" ca="1" si="7"/>
        <v>0.95814389304639713</v>
      </c>
      <c r="X121" s="119">
        <f t="shared" ca="1" si="10"/>
        <v>-3.8146217705655849E-2</v>
      </c>
      <c r="Y121" s="120">
        <f t="shared" ca="1" si="8"/>
        <v>21983.422290683127</v>
      </c>
      <c r="Z121" s="28"/>
    </row>
    <row r="122" spans="2:26">
      <c r="B122" s="24"/>
      <c r="C122" s="19" t="s">
        <v>139</v>
      </c>
      <c r="E122" s="78" t="s">
        <v>45</v>
      </c>
      <c r="F122" s="83">
        <f>$Y81+$Y82*SQRT($L150/F119)+$Y83*AVERAGE($G21:$G22)*IF(F113=$L6,1,-1)</f>
        <v>4.973090341257957</v>
      </c>
      <c r="G122" s="83">
        <f>$Y81+$Y82*SQRT($L150/G119)+$Y83*AVERAGE($G21:$G22)*IF(G113=$L6,1,-1)</f>
        <v>6.344905504854613</v>
      </c>
      <c r="I122" s="83">
        <f>$Y81+$Y82*SQRT($L150/I119)+$Y83*AVERAGE($G21:$G22)*IF(I113=$L6,1,-1)</f>
        <v>4.7389055048546131</v>
      </c>
      <c r="J122" s="83">
        <f>$Y81+$Y82*SQRT($L150/J119)+$Y83*AVERAGE($G21:$G22)*IF(J113=$L6,1,-1)</f>
        <v>6.1250699450404591</v>
      </c>
      <c r="K122" s="83">
        <f>$Y81+$Y82*SQRT($L150/K119)+$Y83*AVERAGE($G21:$G22)*IF(K113=$L6,1,-1)</f>
        <v>4.7389055048546131</v>
      </c>
      <c r="L122" s="83">
        <f>$Y81+$Y82*SQRT($L150/L119)+$Y83*AVERAGE($G21:$G22)*IF(L113=$L6,1,-1)</f>
        <v>6.1250699450404591</v>
      </c>
      <c r="M122" s="28"/>
      <c r="P122" s="24"/>
      <c r="Q122" s="98">
        <v>6</v>
      </c>
      <c r="R122" s="177">
        <f t="shared" si="9"/>
        <v>20270.923546752001</v>
      </c>
      <c r="S122" s="177">
        <f t="shared" si="4"/>
        <v>60812.770640256007</v>
      </c>
      <c r="T122" s="152">
        <f t="shared" si="5"/>
        <v>36777.200787627582</v>
      </c>
      <c r="U122" s="118">
        <f t="shared" si="6"/>
        <v>36.276304562079325</v>
      </c>
      <c r="V122" s="119">
        <f t="shared" si="3"/>
        <v>1.0340811544566955</v>
      </c>
      <c r="W122" s="119">
        <f t="shared" ca="1" si="7"/>
        <v>0.95996271989945214</v>
      </c>
      <c r="X122" s="119">
        <f t="shared" ca="1" si="10"/>
        <v>-3.6327390852600838E-2</v>
      </c>
      <c r="Y122" s="120">
        <f t="shared" ca="1" si="8"/>
        <v>20325.479573127235</v>
      </c>
      <c r="Z122" s="28"/>
    </row>
    <row r="123" spans="2:26">
      <c r="B123" s="24"/>
      <c r="C123" s="101" t="s">
        <v>46</v>
      </c>
      <c r="D123" s="29"/>
      <c r="E123" s="78" t="s">
        <v>16</v>
      </c>
      <c r="F123" s="83">
        <f>($L149/2)/(AVERAGE(F118:F119)*5280/3600)</f>
        <v>2.2582569561663344</v>
      </c>
      <c r="G123" s="83">
        <f>($L149/2)/(AVERAGE(G118:G119)*5280/3600)</f>
        <v>2.2239415749854565</v>
      </c>
      <c r="I123" s="83">
        <f>($L149/2)/(AVERAGE(I118:I119)*5280/3600)</f>
        <v>2.2239415749854565</v>
      </c>
      <c r="J123" s="83">
        <f>($L149/2)/(AVERAGE(J118:J119)*5280/3600)</f>
        <v>2.1908093889848188</v>
      </c>
      <c r="K123" s="83">
        <f>($L149/2)/(AVERAGE(K118:K119)*5280/3600)</f>
        <v>2.2239415749854565</v>
      </c>
      <c r="L123" s="83">
        <f>($L149/2)/(AVERAGE(L118:L119)*5280/3600)</f>
        <v>2.1908093889848188</v>
      </c>
      <c r="M123" s="28"/>
      <c r="P123" s="24"/>
      <c r="Q123" s="98">
        <v>7</v>
      </c>
      <c r="R123" s="177">
        <f t="shared" si="9"/>
        <v>20676.342017687035</v>
      </c>
      <c r="S123" s="177">
        <f t="shared" si="4"/>
        <v>72367.197061904619</v>
      </c>
      <c r="T123" s="152">
        <f t="shared" si="5"/>
        <v>43764.868937276806</v>
      </c>
      <c r="U123" s="118">
        <f t="shared" si="6"/>
        <v>36.149804313411011</v>
      </c>
      <c r="V123" s="119">
        <f t="shared" si="3"/>
        <v>1.0352591286011936</v>
      </c>
      <c r="W123" s="119">
        <f t="shared" ca="1" si="7"/>
        <v>0.96105626198640537</v>
      </c>
      <c r="X123" s="119">
        <f t="shared" ca="1" si="10"/>
        <v>-3.5233848765647613E-2</v>
      </c>
      <c r="Y123" s="120">
        <f t="shared" ca="1" si="8"/>
        <v>19139.450109291927</v>
      </c>
      <c r="Z123" s="28"/>
    </row>
    <row r="124" spans="2:26">
      <c r="B124" s="24"/>
      <c r="C124" s="101"/>
      <c r="D124" s="29"/>
      <c r="E124" s="78" t="s">
        <v>45</v>
      </c>
      <c r="F124" s="83">
        <f>($L149/2)/(AVERAGE(F119:F120)*5280/3600)</f>
        <v>2.3487781335797617</v>
      </c>
      <c r="G124" s="83">
        <f>($L149/2)/(AVERAGE(G119:G120)*5280/3600)</f>
        <v>2.2616503839010069</v>
      </c>
      <c r="I124" s="83">
        <f>($L149/2)/(AVERAGE(I119:I120)*5280/3600)</f>
        <v>2.2967013174560127</v>
      </c>
      <c r="J124" s="83">
        <f>($L149/2)/(AVERAGE(J119:J120)*5280/3600)</f>
        <v>2.2143321474660187</v>
      </c>
      <c r="K124" s="83">
        <f>($L149/2)/(AVERAGE(K119:K120)*5280/3600)</f>
        <v>2.2967013174560127</v>
      </c>
      <c r="L124" s="83">
        <f>($L149/2)/(AVERAGE(L119:L120)*5280/3600)</f>
        <v>2.2143321474660187</v>
      </c>
      <c r="M124" s="28"/>
      <c r="P124" s="24"/>
      <c r="Q124" s="98">
        <v>8</v>
      </c>
      <c r="R124" s="177">
        <f t="shared" si="9"/>
        <v>21089.86885804078</v>
      </c>
      <c r="S124" s="177">
        <f t="shared" si="4"/>
        <v>84359.475432163119</v>
      </c>
      <c r="T124" s="152">
        <f t="shared" si="5"/>
        <v>51017.332932596968</v>
      </c>
      <c r="U124" s="118">
        <f t="shared" si="6"/>
        <v>36.075450609566865</v>
      </c>
      <c r="V124" s="119">
        <f t="shared" si="3"/>
        <v>1.0359521386065553</v>
      </c>
      <c r="W124" s="119">
        <f t="shared" ca="1" si="7"/>
        <v>0.96169960005208566</v>
      </c>
      <c r="X124" s="119">
        <f t="shared" ca="1" si="10"/>
        <v>-3.4590510699967325E-2</v>
      </c>
      <c r="Y124" s="120">
        <f t="shared" ca="1" si="8"/>
        <v>18242.70013594499</v>
      </c>
      <c r="Z124" s="28"/>
    </row>
    <row r="125" spans="2:26">
      <c r="B125" s="24"/>
      <c r="C125" s="101" t="s">
        <v>47</v>
      </c>
      <c r="D125" s="29"/>
      <c r="E125" s="78" t="s">
        <v>16</v>
      </c>
      <c r="F125" s="119">
        <f>F121/F123*5280/3600/32.2</f>
        <v>0.18223072140787031</v>
      </c>
      <c r="G125" s="119">
        <f>G121/G123*5280/3600/32.2</f>
        <v>0.16649481987061213</v>
      </c>
      <c r="I125" s="119">
        <f t="shared" ref="I125:L126" si="11">I121/I123*5280/3600/32.2</f>
        <v>0.16649481987061213</v>
      </c>
      <c r="J125" s="119">
        <f t="shared" si="11"/>
        <v>0.15133821135829095</v>
      </c>
      <c r="K125" s="119">
        <f t="shared" si="11"/>
        <v>0.16649481987061213</v>
      </c>
      <c r="L125" s="119">
        <f t="shared" si="11"/>
        <v>0.15133821135829095</v>
      </c>
      <c r="M125" s="28"/>
      <c r="P125" s="24"/>
      <c r="Q125" s="98">
        <v>9</v>
      </c>
      <c r="R125" s="177">
        <f t="shared" si="9"/>
        <v>21511.666235201596</v>
      </c>
      <c r="S125" s="177">
        <f t="shared" si="4"/>
        <v>96802.498058407175</v>
      </c>
      <c r="T125" s="152">
        <f t="shared" si="5"/>
        <v>58542.389540155018</v>
      </c>
      <c r="U125" s="118">
        <f t="shared" si="6"/>
        <v>36.032686562971016</v>
      </c>
      <c r="V125" s="119">
        <f t="shared" si="3"/>
        <v>1.0363509288938595</v>
      </c>
      <c r="W125" s="119">
        <f t="shared" ca="1" si="7"/>
        <v>0.9620698067880078</v>
      </c>
      <c r="X125" s="119">
        <f t="shared" ca="1" si="10"/>
        <v>-3.4220303964045184E-2</v>
      </c>
      <c r="Y125" s="120">
        <f t="shared" ca="1" si="8"/>
        <v>17521.802612613879</v>
      </c>
      <c r="Z125" s="28"/>
    </row>
    <row r="126" spans="2:26">
      <c r="B126" s="24"/>
      <c r="C126" s="101"/>
      <c r="D126" s="29"/>
      <c r="E126" s="78" t="s">
        <v>45</v>
      </c>
      <c r="F126" s="119">
        <f>F122/F124*5280/3600/32.2</f>
        <v>9.6440600004404881E-2</v>
      </c>
      <c r="G126" s="119">
        <f>G122/G124*5280/3600/32.2</f>
        <v>0.12778363495552056</v>
      </c>
      <c r="I126" s="119">
        <f t="shared" si="11"/>
        <v>9.3982951416666821E-2</v>
      </c>
      <c r="J126" s="119">
        <f t="shared" si="11"/>
        <v>0.12599225164485953</v>
      </c>
      <c r="K126" s="119">
        <f t="shared" si="11"/>
        <v>9.3982951416666821E-2</v>
      </c>
      <c r="L126" s="119">
        <f t="shared" si="11"/>
        <v>0.12599225164485953</v>
      </c>
      <c r="M126" s="28"/>
      <c r="P126" s="24"/>
      <c r="Q126" s="98">
        <v>10</v>
      </c>
      <c r="R126" s="177">
        <f t="shared" si="9"/>
        <v>21941.899559905629</v>
      </c>
      <c r="S126" s="177">
        <f t="shared" si="4"/>
        <v>109709.49779952812</v>
      </c>
      <c r="T126" s="152">
        <f t="shared" si="5"/>
        <v>66348.041478842351</v>
      </c>
      <c r="U126" s="118">
        <f t="shared" si="6"/>
        <v>36.008634539738964</v>
      </c>
      <c r="V126" s="119">
        <f t="shared" si="3"/>
        <v>1.0365752902060938</v>
      </c>
      <c r="W126" s="119">
        <f t="shared" ca="1" si="7"/>
        <v>0.96227808685829475</v>
      </c>
      <c r="X126" s="119">
        <f t="shared" ca="1" si="10"/>
        <v>-3.4012023893758236E-2</v>
      </c>
      <c r="Y126" s="120">
        <f t="shared" ca="1" si="8"/>
        <v>16907.919502600049</v>
      </c>
      <c r="Z126" s="28"/>
    </row>
    <row r="127" spans="2:26">
      <c r="B127" s="24"/>
      <c r="C127" s="19" t="s">
        <v>142</v>
      </c>
      <c r="E127" s="29" t="s">
        <v>2</v>
      </c>
      <c r="F127" s="121">
        <f>G$32*EXP((-0.0016*$L$104^-0.47)*(F118-$L$98))</f>
        <v>27.60851483456787</v>
      </c>
      <c r="G127" s="121">
        <f>G$32*EXP((-0.0016*$L$104^-0.47)*(G118-$L$98))</f>
        <v>27.494188077325799</v>
      </c>
      <c r="I127" s="121">
        <f>F$51*EXP((-0.0016*$L$104^-0.47)*(I118-$L$98))</f>
        <v>38.107769500815884</v>
      </c>
      <c r="J127" s="121">
        <f t="shared" ref="J127:K129" si="12">F$51*EXP((-0.0016*$L$104^-0.47)*(J118-$L$98))</f>
        <v>37.939529819863573</v>
      </c>
      <c r="K127" s="121">
        <f t="shared" si="12"/>
        <v>34.258654064912619</v>
      </c>
      <c r="L127" s="121">
        <f>G$51*EXP((-0.0016*$L$104^-0.47)*(L118-$L$98))</f>
        <v>34.107407610311981</v>
      </c>
      <c r="M127" s="28"/>
      <c r="P127" s="24"/>
      <c r="Q127" s="98">
        <v>11</v>
      </c>
      <c r="R127" s="177">
        <f t="shared" si="9"/>
        <v>22380.737551103735</v>
      </c>
      <c r="S127" s="177">
        <f t="shared" si="4"/>
        <v>123094.05653107053</v>
      </c>
      <c r="T127" s="152">
        <f t="shared" si="5"/>
        <v>74442.502539261099</v>
      </c>
      <c r="U127" s="118">
        <f t="shared" si="6"/>
        <v>35.995414115716621</v>
      </c>
      <c r="V127" s="119">
        <f t="shared" si="3"/>
        <v>1.0366986332276684</v>
      </c>
      <c r="W127" s="119">
        <f t="shared" ca="1" si="7"/>
        <v>0.96239258918914283</v>
      </c>
      <c r="X127" s="119">
        <f t="shared" ca="1" si="10"/>
        <v>-3.3897521562910149E-2</v>
      </c>
      <c r="Y127" s="120">
        <f t="shared" ca="1" si="8"/>
        <v>16360.192784318508</v>
      </c>
      <c r="Z127" s="28"/>
    </row>
    <row r="128" spans="2:26">
      <c r="B128" s="24"/>
      <c r="C128" s="122" t="s">
        <v>141</v>
      </c>
      <c r="E128" s="19" t="s">
        <v>11</v>
      </c>
      <c r="F128" s="121">
        <f>G$32*EXP((-0.0016*$L$104^-0.47)*(F119-$L$98))</f>
        <v>30.636204936653929</v>
      </c>
      <c r="G128" s="121">
        <f>G$32*EXP((-0.0016*$L$104^-0.47)*(G119-$L$98))</f>
        <v>30.192773777106929</v>
      </c>
      <c r="I128" s="121">
        <f>F$51*EXP((-0.0016*$L$104^-0.47)*(I119-$L$98))</f>
        <v>41.848090238283518</v>
      </c>
      <c r="J128" s="121">
        <f t="shared" si="12"/>
        <v>41.257395395280142</v>
      </c>
      <c r="K128" s="121">
        <f t="shared" si="12"/>
        <v>37.621179762827822</v>
      </c>
      <c r="L128" s="121">
        <f>G$51*EXP((-0.0016*$L$104^-0.47)*(L119-$L$98))</f>
        <v>37.090148675218579</v>
      </c>
      <c r="M128" s="28"/>
      <c r="P128" s="24"/>
      <c r="Q128" s="98">
        <v>12</v>
      </c>
      <c r="R128" s="177">
        <f t="shared" si="9"/>
        <v>22828.352302125815</v>
      </c>
      <c r="S128" s="177">
        <f t="shared" si="4"/>
        <v>136970.11381275489</v>
      </c>
      <c r="T128" s="152">
        <f t="shared" si="5"/>
        <v>82834.202825505112</v>
      </c>
      <c r="U128" s="118">
        <f t="shared" si="6"/>
        <v>35.988317081497918</v>
      </c>
      <c r="V128" s="119">
        <f t="shared" si="3"/>
        <v>1.0367648527135453</v>
      </c>
      <c r="W128" s="119">
        <f t="shared" ca="1" si="7"/>
        <v>0.96245406235060482</v>
      </c>
      <c r="X128" s="119">
        <f t="shared" ca="1" si="10"/>
        <v>-3.383604840144816E-2</v>
      </c>
      <c r="Y128" s="120">
        <f t="shared" ca="1" si="8"/>
        <v>15854.877254132402</v>
      </c>
      <c r="Z128" s="28"/>
    </row>
    <row r="129" spans="2:26">
      <c r="B129" s="24"/>
      <c r="E129" s="29" t="s">
        <v>3</v>
      </c>
      <c r="F129" s="121">
        <f>G$32*EXP((-0.0016*$L$104^-0.47)*(F120-$L$98))</f>
        <v>28.930750438677801</v>
      </c>
      <c r="G129" s="121">
        <f>G$32*EXP((-0.0016*$L$104^-0.47)*(G120-$L$98))</f>
        <v>28.065059201628053</v>
      </c>
      <c r="I129" s="121">
        <f>F$51*EXP((-0.0016*$L$104^-0.47)*(I120-$L$98))</f>
        <v>39.625226975325504</v>
      </c>
      <c r="J129" s="121">
        <f t="shared" si="12"/>
        <v>38.447169166646816</v>
      </c>
      <c r="K129" s="121">
        <f t="shared" si="12"/>
        <v>35.622839147335981</v>
      </c>
      <c r="L129" s="121">
        <f>G$51*EXP((-0.0016*$L$104^-0.47)*(L120-$L$98))</f>
        <v>34.563772309663207</v>
      </c>
      <c r="M129" s="28"/>
      <c r="P129" s="24"/>
      <c r="Q129" s="98">
        <v>13</v>
      </c>
      <c r="R129" s="177">
        <f t="shared" si="9"/>
        <v>23284.919348168329</v>
      </c>
      <c r="S129" s="177">
        <f t="shared" si="4"/>
        <v>151351.97576309415</v>
      </c>
      <c r="T129" s="152">
        <f t="shared" si="5"/>
        <v>91531.794122183142</v>
      </c>
      <c r="U129" s="118">
        <f t="shared" si="6"/>
        <v>35.984598688683434</v>
      </c>
      <c r="V129" s="119">
        <f t="shared" si="3"/>
        <v>1.0367995491849178</v>
      </c>
      <c r="W129" s="119">
        <f t="shared" ca="1" si="7"/>
        <v>0.96248627192998459</v>
      </c>
      <c r="X129" s="119">
        <f t="shared" ca="1" si="10"/>
        <v>-3.3803838822068388E-2</v>
      </c>
      <c r="Y129" s="120">
        <f t="shared" ca="1" si="8"/>
        <v>15378.431560050973</v>
      </c>
      <c r="Z129" s="28"/>
    </row>
    <row r="130" spans="2:26">
      <c r="B130" s="24"/>
      <c r="C130" s="19" t="s">
        <v>144</v>
      </c>
      <c r="E130" s="29" t="s">
        <v>2</v>
      </c>
      <c r="F130" s="119">
        <f t="shared" ref="F130:G132" si="13">$L$102+$L$103*F127/100</f>
        <v>0.50921536614716012</v>
      </c>
      <c r="G130" s="119">
        <f t="shared" si="13"/>
        <v>0.507934906466049</v>
      </c>
      <c r="I130" s="119">
        <f t="shared" ref="I130:L132" si="14">$L$102+$L$103*I127/100</f>
        <v>0.62680701840913788</v>
      </c>
      <c r="J130" s="119">
        <f t="shared" si="14"/>
        <v>0.62492273398247211</v>
      </c>
      <c r="K130" s="119">
        <f t="shared" si="14"/>
        <v>0.58369692552702146</v>
      </c>
      <c r="L130" s="119">
        <f t="shared" si="14"/>
        <v>0.58200296523549422</v>
      </c>
      <c r="M130" s="28"/>
      <c r="P130" s="24"/>
      <c r="Q130" s="98">
        <v>14</v>
      </c>
      <c r="R130" s="177">
        <f t="shared" si="9"/>
        <v>23750.617735131698</v>
      </c>
      <c r="S130" s="177">
        <f t="shared" si="4"/>
        <v>166254.32414592188</v>
      </c>
      <c r="T130" s="152">
        <f t="shared" si="5"/>
        <v>100544.15538959811</v>
      </c>
      <c r="U130" s="118">
        <f t="shared" si="6"/>
        <v>35.982698565577032</v>
      </c>
      <c r="V130" s="119">
        <f t="shared" si="3"/>
        <v>1.0368172797575446</v>
      </c>
      <c r="W130" s="119">
        <f t="shared" ca="1" si="7"/>
        <v>0.96250273165236799</v>
      </c>
      <c r="X130" s="119">
        <f t="shared" ca="1" si="10"/>
        <v>-3.3787379099684989E-2</v>
      </c>
      <c r="Y130" s="120">
        <f t="shared" ca="1" si="8"/>
        <v>14923.246129741774</v>
      </c>
      <c r="Z130" s="28"/>
    </row>
    <row r="131" spans="2:26">
      <c r="B131" s="24"/>
      <c r="C131" s="122" t="s">
        <v>143</v>
      </c>
      <c r="E131" s="19" t="s">
        <v>11</v>
      </c>
      <c r="F131" s="119">
        <f t="shared" si="13"/>
        <v>0.54312549529052401</v>
      </c>
      <c r="G131" s="119">
        <f t="shared" si="13"/>
        <v>0.53815906630359756</v>
      </c>
      <c r="I131" s="119">
        <f t="shared" si="14"/>
        <v>0.66869861066877556</v>
      </c>
      <c r="J131" s="119">
        <f t="shared" si="14"/>
        <v>0.66208282842713762</v>
      </c>
      <c r="K131" s="119">
        <f t="shared" si="14"/>
        <v>0.62135721334367155</v>
      </c>
      <c r="L131" s="119">
        <f t="shared" si="14"/>
        <v>0.61540966516244811</v>
      </c>
      <c r="M131" s="28"/>
      <c r="P131" s="24"/>
      <c r="Q131" s="98">
        <v>15</v>
      </c>
      <c r="R131" s="177">
        <f t="shared" si="9"/>
        <v>24225.630089834325</v>
      </c>
      <c r="S131" s="177">
        <f t="shared" si="4"/>
        <v>181692.22567375746</v>
      </c>
      <c r="T131" s="152">
        <f t="shared" si="5"/>
        <v>109880.39839006077</v>
      </c>
      <c r="U131" s="118">
        <f t="shared" si="6"/>
        <v>35.981752220490065</v>
      </c>
      <c r="V131" s="119">
        <f t="shared" si="3"/>
        <v>1.0368261104775998</v>
      </c>
      <c r="W131" s="119">
        <f t="shared" ca="1" si="7"/>
        <v>0.96251092942486027</v>
      </c>
      <c r="X131" s="119">
        <f t="shared" ca="1" si="10"/>
        <v>-3.3779181327192709E-2</v>
      </c>
      <c r="Y131" s="120">
        <f t="shared" ca="1" si="8"/>
        <v>14485.0731346839</v>
      </c>
      <c r="Z131" s="28"/>
    </row>
    <row r="132" spans="2:26">
      <c r="B132" s="24"/>
      <c r="E132" s="29" t="s">
        <v>3</v>
      </c>
      <c r="F132" s="119">
        <f t="shared" si="13"/>
        <v>0.52402440491319147</v>
      </c>
      <c r="G132" s="119">
        <f t="shared" si="13"/>
        <v>0.51432866305823421</v>
      </c>
      <c r="I132" s="119">
        <f t="shared" si="14"/>
        <v>0.64380254212364574</v>
      </c>
      <c r="J132" s="119">
        <f t="shared" si="14"/>
        <v>0.63060829466644441</v>
      </c>
      <c r="K132" s="119">
        <f t="shared" si="14"/>
        <v>0.59897579845016302</v>
      </c>
      <c r="L132" s="119">
        <f t="shared" si="14"/>
        <v>0.58711424986822802</v>
      </c>
      <c r="M132" s="28"/>
      <c r="P132" s="24"/>
      <c r="Q132" s="98">
        <v>16</v>
      </c>
      <c r="R132" s="177">
        <f t="shared" si="9"/>
        <v>24710.142691631016</v>
      </c>
      <c r="S132" s="177">
        <f t="shared" si="4"/>
        <v>197681.14153304812</v>
      </c>
      <c r="T132" s="152">
        <f t="shared" si="5"/>
        <v>119549.87344838612</v>
      </c>
      <c r="U132" s="118">
        <f t="shared" si="6"/>
        <v>35.981293187768358</v>
      </c>
      <c r="V132" s="119">
        <f t="shared" si="3"/>
        <v>1.0368303939204506</v>
      </c>
      <c r="W132" s="119">
        <f t="shared" ca="1" si="7"/>
        <v>0.96251490584917854</v>
      </c>
      <c r="X132" s="119">
        <f t="shared" ca="1" si="10"/>
        <v>-3.3775204902874445E-2</v>
      </c>
      <c r="Y132" s="120">
        <f t="shared" ca="1" si="8"/>
        <v>14061.522308730742</v>
      </c>
      <c r="Z132" s="28"/>
    </row>
    <row r="133" spans="2:26">
      <c r="B133" s="24"/>
      <c r="C133" s="101" t="s">
        <v>145</v>
      </c>
      <c r="E133" s="29" t="s">
        <v>2</v>
      </c>
      <c r="F133" s="119">
        <f>F130*SQRT(1-MIN((ABS(F125)/F130),1))</f>
        <v>0.40805098406377671</v>
      </c>
      <c r="G133" s="119">
        <f>G130*SQRT(1-MIN((ABS(G125)/G130),1))</f>
        <v>0.4164484823463917</v>
      </c>
      <c r="I133" s="119">
        <f t="shared" ref="I133:L133" si="15">I130*SQRT(1-MIN((ABS(I125)/I130),1))</f>
        <v>0.53714701591211356</v>
      </c>
      <c r="J133" s="119">
        <f t="shared" si="15"/>
        <v>0.54401629998565959</v>
      </c>
      <c r="K133" s="119">
        <f t="shared" si="15"/>
        <v>0.49347703735335618</v>
      </c>
      <c r="L133" s="119">
        <f t="shared" si="15"/>
        <v>0.50064774420638969</v>
      </c>
      <c r="M133" s="28"/>
      <c r="P133" s="24"/>
      <c r="Q133" s="98">
        <v>17</v>
      </c>
      <c r="R133" s="177">
        <f t="shared" si="9"/>
        <v>25204.345545463639</v>
      </c>
      <c r="S133" s="177">
        <f t="shared" si="4"/>
        <v>214236.93713644092</v>
      </c>
      <c r="T133" s="152">
        <f t="shared" si="5"/>
        <v>129562.17534968846</v>
      </c>
      <c r="U133" s="118">
        <f t="shared" si="6"/>
        <v>35.981076496867395</v>
      </c>
      <c r="V133" s="119">
        <f t="shared" si="3"/>
        <v>1.0368324159678322</v>
      </c>
      <c r="W133" s="119">
        <f t="shared" ca="1" si="7"/>
        <v>0.9625167829650082</v>
      </c>
      <c r="X133" s="119">
        <f t="shared" ca="1" si="10"/>
        <v>-3.3773327787044782E-2</v>
      </c>
      <c r="Y133" s="120">
        <f t="shared" ca="1" si="8"/>
        <v>13651.204674894432</v>
      </c>
      <c r="Z133" s="28"/>
    </row>
    <row r="134" spans="2:26">
      <c r="B134" s="24"/>
      <c r="C134" s="122" t="s">
        <v>143</v>
      </c>
      <c r="E134" s="19" t="s">
        <v>11</v>
      </c>
      <c r="F134" s="119">
        <f>F131*SQRT(1-MIN((AVERAGE(ABS(F125),ABS(F126))/F131),1))</f>
        <v>0.46830391190115384</v>
      </c>
      <c r="G134" s="119">
        <f>G131*SQRT(1-MIN((AVERAGE(ABS(G125),ABS(G126))/G131),1))</f>
        <v>0.45872744784186548</v>
      </c>
      <c r="I134" s="119">
        <f t="shared" ref="I134:L134" si="16">I131*SQRT(1-MIN((AVERAGE(ABS(I125),ABS(I126))/I131),1))</f>
        <v>0.60005605573596155</v>
      </c>
      <c r="J134" s="119">
        <f t="shared" si="16"/>
        <v>0.58868141045986144</v>
      </c>
      <c r="K134" s="119">
        <f t="shared" si="16"/>
        <v>0.55241281259733288</v>
      </c>
      <c r="L134" s="119">
        <f t="shared" si="16"/>
        <v>0.54165776306381763</v>
      </c>
      <c r="M134" s="28"/>
      <c r="P134" s="24"/>
      <c r="Q134" s="98">
        <v>18</v>
      </c>
      <c r="R134" s="177">
        <f t="shared" si="9"/>
        <v>25708.43245637291</v>
      </c>
      <c r="S134" s="177">
        <f t="shared" si="4"/>
        <v>231375.89210735619</v>
      </c>
      <c r="T134" s="152">
        <f t="shared" si="5"/>
        <v>139927.14937766353</v>
      </c>
      <c r="U134" s="118">
        <f t="shared" si="6"/>
        <v>35.980977023086808</v>
      </c>
      <c r="V134" s="119">
        <f t="shared" si="3"/>
        <v>1.0368333442070099</v>
      </c>
      <c r="W134" s="119">
        <f t="shared" ca="1" si="7"/>
        <v>0.96251764467204337</v>
      </c>
      <c r="X134" s="119">
        <f t="shared" ca="1" si="10"/>
        <v>-3.3772466080009611E-2</v>
      </c>
      <c r="Y134" s="120">
        <f t="shared" ca="1" si="8"/>
        <v>13253.258613842789</v>
      </c>
      <c r="Z134" s="28"/>
    </row>
    <row r="135" spans="2:26">
      <c r="B135" s="24"/>
      <c r="E135" s="29" t="s">
        <v>3</v>
      </c>
      <c r="F135" s="119">
        <f>F132*SQRT(1-MIN((ABS(F126)/F132),1))</f>
        <v>0.47335435871854509</v>
      </c>
      <c r="G135" s="119">
        <f>G132*SQRT(1-MIN((ABS(G126)/G132),1))</f>
        <v>0.44588248173243616</v>
      </c>
      <c r="I135" s="119">
        <f t="shared" ref="I135:L135" si="17">I132*SQRT(1-MIN((ABS(I126)/I132),1))</f>
        <v>0.59495819198203792</v>
      </c>
      <c r="J135" s="119">
        <f t="shared" si="17"/>
        <v>0.56410554185468764</v>
      </c>
      <c r="K135" s="119">
        <f t="shared" si="17"/>
        <v>0.54998044852840855</v>
      </c>
      <c r="L135" s="119">
        <f t="shared" si="17"/>
        <v>0.52031845641361918</v>
      </c>
      <c r="M135" s="28"/>
      <c r="P135" s="24"/>
      <c r="Q135" s="98">
        <v>19</v>
      </c>
      <c r="R135" s="177">
        <f t="shared" si="9"/>
        <v>26222.601105500366</v>
      </c>
      <c r="S135" s="177">
        <f t="shared" si="4"/>
        <v>249114.71050225347</v>
      </c>
      <c r="T135" s="152">
        <f t="shared" si="5"/>
        <v>150654.89749661772</v>
      </c>
      <c r="U135" s="118">
        <f t="shared" si="6"/>
        <v>35.980932651322362</v>
      </c>
      <c r="V135" s="119">
        <f t="shared" si="3"/>
        <v>1.0368337582622169</v>
      </c>
      <c r="W135" s="119">
        <f t="shared" ca="1" si="7"/>
        <v>0.96251802904957606</v>
      </c>
      <c r="X135" s="119">
        <f t="shared" ca="1" si="10"/>
        <v>-3.3772081702476919E-2</v>
      </c>
      <c r="Y135" s="120">
        <f t="shared" ca="1" si="8"/>
        <v>12867.0949255992</v>
      </c>
      <c r="Z135" s="28"/>
    </row>
    <row r="136" spans="2:26">
      <c r="B136" s="24"/>
      <c r="C136" s="102" t="s">
        <v>176</v>
      </c>
      <c r="D136" s="29" t="s">
        <v>43</v>
      </c>
      <c r="E136" s="29" t="s">
        <v>2</v>
      </c>
      <c r="F136" s="119">
        <f>((F118*5280/3600)^2)/(32.2*$L$153)*COS(F115/100)-SIN(F115/100)*COS($G20*IF(F113=$L6,1,-1)/100)</f>
        <v>0.39192556857541683</v>
      </c>
      <c r="G136" s="119">
        <f>((G118*5280/3600)^2)/(32.2*$L$153)*COS(G115/100)-SIN(G115/100)*COS($G20*IF(G113=$L6,1,-1)/100)</f>
        <v>0.37699317084366152</v>
      </c>
      <c r="I136" s="119">
        <f t="shared" ref="I136:L137" si="18">((I118*5280/3600)^2)/(32.2*$L$153)*COS(I115/100)-SIN(I115/100)*COS($G20*IF(I113=$L6,1,-1)/100)</f>
        <v>0.37699317084366152</v>
      </c>
      <c r="J136" s="119">
        <f t="shared" si="18"/>
        <v>0.36229858829031419</v>
      </c>
      <c r="K136" s="119">
        <f t="shared" si="18"/>
        <v>0.37699317084366152</v>
      </c>
      <c r="L136" s="119">
        <f t="shared" si="18"/>
        <v>0.36229858829031419</v>
      </c>
      <c r="M136" s="28"/>
      <c r="P136" s="24"/>
      <c r="Q136" s="98">
        <v>20</v>
      </c>
      <c r="R136" s="177">
        <f t="shared" si="9"/>
        <v>26747.053127610376</v>
      </c>
      <c r="S136" s="177">
        <f t="shared" si="4"/>
        <v>267470.53127610381</v>
      </c>
      <c r="T136" s="152">
        <f t="shared" si="5"/>
        <v>161755.78468057909</v>
      </c>
      <c r="U136" s="118">
        <f t="shared" si="6"/>
        <v>35.980913434343577</v>
      </c>
      <c r="V136" s="119">
        <f t="shared" si="3"/>
        <v>1.0368339375855435</v>
      </c>
      <c r="W136" s="119">
        <f t="shared" ca="1" si="7"/>
        <v>0.96251819551978746</v>
      </c>
      <c r="X136" s="119">
        <f t="shared" ca="1" si="10"/>
        <v>-3.3771915232265526E-2</v>
      </c>
      <c r="Y136" s="120">
        <f t="shared" ca="1" si="8"/>
        <v>12492.263592994996</v>
      </c>
      <c r="Z136" s="28"/>
    </row>
    <row r="137" spans="2:26">
      <c r="B137" s="24"/>
      <c r="C137" s="123" t="s">
        <v>175</v>
      </c>
      <c r="D137" s="29"/>
      <c r="E137" s="29" t="s">
        <v>11</v>
      </c>
      <c r="F137" s="119">
        <f>((F119*5280/3600)^2)/(32.2*$L$153)*COS(F116/100)-SIN(F116/100)*COS($G21*IF(F114=$L7,1,-1)/100)</f>
        <v>0.2496010181057704</v>
      </c>
      <c r="G137" s="119">
        <f>((G119*5280/3600)^2)/(32.2*$L$153)*COS(G116/100)-SIN(G116/100)*COS($G21*IF(G114=$L7,1,-1)/100)</f>
        <v>0.24567497376288047</v>
      </c>
      <c r="I137" s="119">
        <f t="shared" si="18"/>
        <v>0.24567497376288047</v>
      </c>
      <c r="J137" s="119">
        <f t="shared" si="18"/>
        <v>0.24159788652796083</v>
      </c>
      <c r="K137" s="119">
        <f t="shared" si="18"/>
        <v>0.24567497376288047</v>
      </c>
      <c r="L137" s="119">
        <f t="shared" si="18"/>
        <v>0.24159788652796083</v>
      </c>
      <c r="M137" s="28"/>
      <c r="P137" s="24"/>
      <c r="Q137" s="154"/>
      <c r="R137" s="155"/>
      <c r="S137" s="156"/>
      <c r="T137" s="157"/>
      <c r="U137" s="158"/>
      <c r="V137" s="158"/>
      <c r="W137" s="158"/>
      <c r="X137" s="158"/>
      <c r="Y137" s="159"/>
      <c r="Z137" s="28"/>
    </row>
    <row r="138" spans="2:26">
      <c r="B138" s="24"/>
      <c r="C138" s="78" t="s">
        <v>146</v>
      </c>
      <c r="D138" s="29"/>
      <c r="E138" s="29" t="s">
        <v>3</v>
      </c>
      <c r="F138" s="119">
        <f>((F120*5280/3600)^2)/(32.2*$L$153)*COS(F117/100)-SIN(F117/100)*COS($G22*IF(F115=$G40,1,-1)/100)</f>
        <v>0.33209339643922453</v>
      </c>
      <c r="G138" s="119">
        <f>((G120*5280/3600)^2)/(32.2*$L$153)*COS(G117/100)-SIN(G117/100)*COS($G22*IF(G115=$G40,1,-1)/100)</f>
        <v>0.35002473676098328</v>
      </c>
      <c r="I138" s="119">
        <f>((I120*5280/3600)^2)/(32.2*$L$153)*COS(I117/100)-SIN(I117/100)*COS($G22*IF(I115=$G40,1,-1)/100)</f>
        <v>0.32647723988207294</v>
      </c>
      <c r="J138" s="119">
        <f>((J120*5280/3600)^2)/(32.2*$L$153)*COS(J117/100)-SIN(J117/100)*COS($G22*IF(J115=$G40,1,-1)/100)</f>
        <v>0.34466765437969515</v>
      </c>
      <c r="K138" s="119">
        <f>((K120*5280/3600)^2)/(32.2*$L$153)*COS(K117/100)-SIN(K117/100)*COS($G22*IF(K115=$G40,1,-1)/100)</f>
        <v>0.32647723988207294</v>
      </c>
      <c r="L138" s="119">
        <f>((L120*5280/3600)^2)/(32.2*$L$153)*COS(L117/100)-SIN(L117/100)*COS($G22*IF(L115=$G40,1,-1)/100)</f>
        <v>0.34466765437969515</v>
      </c>
      <c r="M138" s="28"/>
      <c r="P138" s="24"/>
      <c r="Q138" s="96" t="s">
        <v>259</v>
      </c>
      <c r="R138" s="97"/>
      <c r="S138" s="97"/>
      <c r="T138" s="161"/>
      <c r="U138" s="162"/>
      <c r="Z138" s="28"/>
    </row>
    <row r="139" spans="2:26">
      <c r="B139" s="24"/>
      <c r="D139" s="29" t="s">
        <v>23</v>
      </c>
      <c r="E139" s="29" t="s">
        <v>2</v>
      </c>
      <c r="F139" s="119">
        <f>((F118*5280/3600)^2)/(32.2*$L$154)*COS(F115/100)-SIN(F115/100)*COS($G20*IF(F113=$L6,1,-1)/100)</f>
        <v>0.45746077646794142</v>
      </c>
      <c r="G139" s="119">
        <f>((G118*5280/3600)^2)/(32.2*$L$154)*COS(G115/100)-SIN(G115/100)*COS($G20*IF(G113=$L6,1,-1)/100)</f>
        <v>0.44328333373321649</v>
      </c>
      <c r="I139" s="119">
        <f t="shared" ref="I139:L140" si="19">((I118*5280/3600)^2)/(32.2*$L$154)*COS(I115/100)-SIN(I115/100)*COS($G20*IF(I113=$L6,1,-1)/100)</f>
        <v>0.44328333373321649</v>
      </c>
      <c r="J139" s="119">
        <f t="shared" si="19"/>
        <v>0.42937548210863619</v>
      </c>
      <c r="K139" s="119">
        <f t="shared" si="19"/>
        <v>0.44328333373321649</v>
      </c>
      <c r="L139" s="119">
        <f t="shared" si="19"/>
        <v>0.42937548210863619</v>
      </c>
      <c r="M139" s="28"/>
      <c r="P139" s="24"/>
      <c r="Q139" s="47" t="s">
        <v>125</v>
      </c>
      <c r="R139" s="46"/>
      <c r="S139" s="81" t="s">
        <v>188</v>
      </c>
      <c r="T139" s="209" t="s">
        <v>196</v>
      </c>
      <c r="U139" s="209"/>
      <c r="Z139" s="28"/>
    </row>
    <row r="140" spans="2:26">
      <c r="B140" s="24"/>
      <c r="D140" s="29"/>
      <c r="E140" s="29" t="s">
        <v>11</v>
      </c>
      <c r="F140" s="119">
        <f>((F119*5280/3600)^2)/(32.2*$L$154)*COS(F116/100)-SIN(F116/100)*COS($G21*IF(F114=$L7,1,-1)/100)</f>
        <v>0.29603577179355262</v>
      </c>
      <c r="G140" s="119">
        <f>((G119*5280/3600)^2)/(32.2*$L$154)*COS(G116/100)-SIN(G116/100)*COS($G21*IF(G114=$L7,1,-1)/100)</f>
        <v>0.29451342392268842</v>
      </c>
      <c r="I140" s="119">
        <f t="shared" si="19"/>
        <v>0.29451342392268842</v>
      </c>
      <c r="J140" s="119">
        <f t="shared" si="19"/>
        <v>0.2928125820041792</v>
      </c>
      <c r="K140" s="119">
        <f t="shared" si="19"/>
        <v>0.29451342392268842</v>
      </c>
      <c r="L140" s="119">
        <f t="shared" si="19"/>
        <v>0.2928125820041792</v>
      </c>
      <c r="M140" s="28"/>
      <c r="P140" s="24"/>
      <c r="Q140" s="34"/>
      <c r="R140" s="133" t="s">
        <v>258</v>
      </c>
      <c r="S140" s="119">
        <f ca="1">SUM(X116:X136)</f>
        <v>-0.83607681569433367</v>
      </c>
      <c r="T140" s="208">
        <f ca="1">SUM(Y116:Y136)</f>
        <v>439284.58610050683</v>
      </c>
      <c r="U140" s="208"/>
      <c r="Z140" s="28"/>
    </row>
    <row r="141" spans="2:26">
      <c r="B141" s="24"/>
      <c r="D141" s="29"/>
      <c r="E141" s="29" t="s">
        <v>3</v>
      </c>
      <c r="F141" s="119">
        <f>((F120*5280/3600)^2)/(32.2*$L$154)*COS(F117/100)-SIN(F117/100)*COS($G22*IF(F115=$G40,1,-1)/100)</f>
        <v>0.38865377851132038</v>
      </c>
      <c r="G141" s="119">
        <f>((G120*5280/3600)^2)/(32.2*$L$154)*COS(G117/100)-SIN(G117/100)*COS($G22*IF(G115=$G40,1,-1)/100)</f>
        <v>0.41226963453813653</v>
      </c>
      <c r="I141" s="119">
        <f>((I120*5280/3600)^2)/(32.2*$L$154)*COS(I117/100)-SIN(I117/100)*COS($G22*IF(I115=$G40,1,-1)/100)</f>
        <v>0.3851900131273896</v>
      </c>
      <c r="J141" s="119">
        <f>((J120*5280/3600)^2)/(32.2*$L$154)*COS(J117/100)-SIN(J117/100)*COS($G22*IF(J115=$G40,1,-1)/100)</f>
        <v>0.40909990811142427</v>
      </c>
      <c r="K141" s="119">
        <f>((K120*5280/3600)^2)/(32.2*$L$154)*COS(K117/100)-SIN(K117/100)*COS($G22*IF(K115=$G40,1,-1)/100)</f>
        <v>0.3851900131273896</v>
      </c>
      <c r="L141" s="119">
        <f>((L120*5280/3600)^2)/(32.2*$L$154)*COS(L117/100)-SIN(L117/100)*COS($G22*IF(L115=$G40,1,-1)/100)</f>
        <v>0.40909990811142427</v>
      </c>
      <c r="M141" s="28"/>
      <c r="P141" s="24"/>
      <c r="Q141" s="34"/>
      <c r="R141" s="133" t="s">
        <v>204</v>
      </c>
      <c r="S141" s="119">
        <f ca="1">SUMIF($Q116:$Q136,"&lt;"&amp;$G41,X116:X136)</f>
        <v>-0.36005116345293964</v>
      </c>
      <c r="T141" s="208">
        <f ca="1">SUMIF($Q116:$Q136,"&lt;"&amp;$G41,Y116:Y136)</f>
        <v>224145.54876106622</v>
      </c>
      <c r="U141" s="208"/>
      <c r="Z141" s="28"/>
    </row>
    <row r="142" spans="2:26">
      <c r="B142" s="24"/>
      <c r="C142" s="19" t="s">
        <v>148</v>
      </c>
      <c r="D142" s="29" t="s">
        <v>43</v>
      </c>
      <c r="E142" s="29" t="s">
        <v>2</v>
      </c>
      <c r="F142" s="119">
        <f t="shared" ref="F142:G144" si="20">F133-F136</f>
        <v>1.6125415488359884E-2</v>
      </c>
      <c r="G142" s="119">
        <f t="shared" si="20"/>
        <v>3.9455311502730184E-2</v>
      </c>
      <c r="I142" s="119">
        <f t="shared" ref="I142:L144" si="21">I133-I136</f>
        <v>0.16015384506845204</v>
      </c>
      <c r="J142" s="119">
        <f t="shared" si="21"/>
        <v>0.1817177116953454</v>
      </c>
      <c r="K142" s="119">
        <f t="shared" si="21"/>
        <v>0.11648386650969467</v>
      </c>
      <c r="L142" s="119">
        <f t="shared" si="21"/>
        <v>0.13834915591607549</v>
      </c>
      <c r="M142" s="28"/>
      <c r="P142" s="24"/>
      <c r="Q142" s="34"/>
      <c r="R142" s="133" t="s">
        <v>205</v>
      </c>
      <c r="S142" s="119">
        <f ca="1">SUMIF(X116:X136,"&lt;0")</f>
        <v>-0.83607681569433367</v>
      </c>
      <c r="T142" s="208">
        <f ca="1">SUMIF(Y116:Y136,"&gt;0")</f>
        <v>439284.58610050683</v>
      </c>
      <c r="U142" s="208"/>
      <c r="Z142" s="28"/>
    </row>
    <row r="143" spans="2:26">
      <c r="B143" s="24"/>
      <c r="C143" s="19" t="s">
        <v>147</v>
      </c>
      <c r="D143" s="29"/>
      <c r="E143" s="29" t="s">
        <v>11</v>
      </c>
      <c r="F143" s="119">
        <f t="shared" si="20"/>
        <v>0.21870289379538344</v>
      </c>
      <c r="G143" s="119">
        <f t="shared" si="20"/>
        <v>0.213052474078985</v>
      </c>
      <c r="I143" s="119">
        <f t="shared" si="21"/>
        <v>0.35438108197308105</v>
      </c>
      <c r="J143" s="119">
        <f t="shared" si="21"/>
        <v>0.34708352393190062</v>
      </c>
      <c r="K143" s="119">
        <f t="shared" si="21"/>
        <v>0.30673783883445238</v>
      </c>
      <c r="L143" s="119">
        <f t="shared" si="21"/>
        <v>0.30005987653585681</v>
      </c>
      <c r="M143" s="28"/>
      <c r="P143" s="24"/>
      <c r="Q143" s="154"/>
      <c r="R143" s="155"/>
      <c r="S143" s="156"/>
      <c r="T143" s="157"/>
      <c r="U143" s="158"/>
      <c r="V143" s="158"/>
      <c r="W143" s="158"/>
      <c r="X143" s="158"/>
      <c r="Y143" s="159"/>
      <c r="Z143" s="28"/>
    </row>
    <row r="144" spans="2:26">
      <c r="B144" s="24"/>
      <c r="D144" s="29"/>
      <c r="E144" s="29" t="s">
        <v>3</v>
      </c>
      <c r="F144" s="119">
        <f t="shared" si="20"/>
        <v>0.14126096227932056</v>
      </c>
      <c r="G144" s="119">
        <f t="shared" si="20"/>
        <v>9.5857744971452885E-2</v>
      </c>
      <c r="I144" s="119">
        <f t="shared" si="21"/>
        <v>0.26848095209996498</v>
      </c>
      <c r="J144" s="119">
        <f t="shared" si="21"/>
        <v>0.21943788747499249</v>
      </c>
      <c r="K144" s="119">
        <f t="shared" si="21"/>
        <v>0.2235032086463356</v>
      </c>
      <c r="L144" s="119">
        <f t="shared" si="21"/>
        <v>0.17565080203392403</v>
      </c>
      <c r="M144" s="28"/>
      <c r="P144" s="24"/>
      <c r="Q144" s="96" t="s">
        <v>169</v>
      </c>
      <c r="R144" s="97"/>
      <c r="S144" s="97"/>
      <c r="T144" s="97"/>
      <c r="U144" s="164" t="s">
        <v>260</v>
      </c>
      <c r="V144" s="35"/>
      <c r="W144" s="135"/>
      <c r="Z144" s="28"/>
    </row>
    <row r="145" spans="2:26">
      <c r="B145" s="24"/>
      <c r="D145" s="29" t="s">
        <v>23</v>
      </c>
      <c r="E145" s="29" t="s">
        <v>2</v>
      </c>
      <c r="F145" s="119">
        <f t="shared" ref="F145:G147" si="22">F133-F139</f>
        <v>-4.940979240416471E-2</v>
      </c>
      <c r="G145" s="119">
        <f t="shared" si="22"/>
        <v>-2.6834851386824787E-2</v>
      </c>
      <c r="I145" s="119">
        <f t="shared" ref="I145:L147" si="23">I133-I139</f>
        <v>9.3863682178897068E-2</v>
      </c>
      <c r="J145" s="119">
        <f t="shared" si="23"/>
        <v>0.1146408178770234</v>
      </c>
      <c r="K145" s="119">
        <f t="shared" si="23"/>
        <v>5.0193703620139696E-2</v>
      </c>
      <c r="L145" s="119">
        <f t="shared" si="23"/>
        <v>7.1272262097753503E-2</v>
      </c>
      <c r="M145" s="28"/>
      <c r="P145" s="24"/>
      <c r="Q145" s="79" t="s">
        <v>262</v>
      </c>
      <c r="R145" s="79" t="s">
        <v>209</v>
      </c>
      <c r="S145" s="79" t="s">
        <v>262</v>
      </c>
      <c r="T145" s="47" t="s">
        <v>209</v>
      </c>
      <c r="U145" s="165" t="s">
        <v>262</v>
      </c>
      <c r="V145" s="79" t="s">
        <v>261</v>
      </c>
      <c r="W145" s="79" t="s">
        <v>209</v>
      </c>
      <c r="Z145" s="28"/>
    </row>
    <row r="146" spans="2:26" ht="15.75">
      <c r="B146" s="24"/>
      <c r="D146" s="29"/>
      <c r="E146" s="29" t="s">
        <v>11</v>
      </c>
      <c r="F146" s="119">
        <f t="shared" si="22"/>
        <v>0.17226814010760122</v>
      </c>
      <c r="G146" s="119">
        <f t="shared" si="22"/>
        <v>0.16421402391917705</v>
      </c>
      <c r="I146" s="119">
        <f t="shared" si="23"/>
        <v>0.30554263181327312</v>
      </c>
      <c r="J146" s="119">
        <f t="shared" si="23"/>
        <v>0.29586882845568224</v>
      </c>
      <c r="K146" s="119">
        <f t="shared" si="23"/>
        <v>0.25789938867464446</v>
      </c>
      <c r="L146" s="119">
        <f t="shared" si="23"/>
        <v>0.24884518105963843</v>
      </c>
      <c r="M146" s="28"/>
      <c r="P146" s="24"/>
      <c r="Q146" s="140" t="s">
        <v>223</v>
      </c>
      <c r="R146" s="160">
        <f>VLOOKUP($F$34,$Q$75:$U$83,3,FALSE)*$G$35/100+IF($G$37=0,0,VLOOKUP($F$36,$Q$75:$U$83,3,FALSE)*$G$37/100)</f>
        <v>1721.5</v>
      </c>
      <c r="S146" s="140" t="s">
        <v>226</v>
      </c>
      <c r="T146" s="163">
        <f>VLOOKUP($F$34,$Q$87:$U$95,3,FALSE)*$G$35/100+IF($G$37=0,0,VLOOKUP($F$36,$Q$87:$U$95,3,FALSE)*$G$37/100)</f>
        <v>218.5</v>
      </c>
      <c r="U146" s="166" t="s">
        <v>250</v>
      </c>
      <c r="V146" s="37">
        <f>IF(R$150="AO",2,IF(R$150="SC",5,8))</f>
        <v>2</v>
      </c>
      <c r="W146" s="61">
        <f>HLOOKUP("Constant",$R$98:$V$107,V146,FALSE)+HLOOKUP("tx",$R$98:$V$107,V146,FALSE)*T146+HLOOKUP("ang",$R$98:$V$107,V146,FALSE)*R146+HLOOKUP("Scale",$R$98:$V$107,V146,FALSE)*R$151</f>
        <v>35.980900000000005</v>
      </c>
      <c r="Y146" s="159"/>
      <c r="Z146" s="28"/>
    </row>
    <row r="147" spans="2:26" ht="15.75">
      <c r="B147" s="24"/>
      <c r="D147" s="29"/>
      <c r="E147" s="29" t="s">
        <v>3</v>
      </c>
      <c r="F147" s="119">
        <f t="shared" si="22"/>
        <v>8.4700580207224707E-2</v>
      </c>
      <c r="G147" s="119">
        <f t="shared" si="22"/>
        <v>3.3612847194299633E-2</v>
      </c>
      <c r="I147" s="119">
        <f t="shared" si="23"/>
        <v>0.20976817885464832</v>
      </c>
      <c r="J147" s="119">
        <f t="shared" si="23"/>
        <v>0.15500563374326337</v>
      </c>
      <c r="K147" s="119">
        <f t="shared" si="23"/>
        <v>0.16479043540101895</v>
      </c>
      <c r="L147" s="119">
        <f t="shared" si="23"/>
        <v>0.11121854830219491</v>
      </c>
      <c r="M147" s="28"/>
      <c r="P147" s="24"/>
      <c r="Q147" s="140" t="s">
        <v>224</v>
      </c>
      <c r="R147" s="160">
        <f>VLOOKUP($F$34,$Q$75:$U$83,4,FALSE)*$G$35/100+IF($G$37=0,0,VLOOKUP($F$36,$Q$75:$U$83,4,FALSE)*$G$37/100)</f>
        <v>1228</v>
      </c>
      <c r="S147" s="140" t="s">
        <v>227</v>
      </c>
      <c r="T147" s="163">
        <f>VLOOKUP($F$34,$Q$87:$U$95,4,FALSE)*$G$35/100+IF($G$37=0,0,VLOOKUP($F$36,$Q$87:$U$95,4,FALSE)*$G$37/100)</f>
        <v>76</v>
      </c>
      <c r="U147" s="166" t="s">
        <v>251</v>
      </c>
      <c r="V147" s="37">
        <f>IF(R$150="AO",3,IF(R$150="SC",6,9))</f>
        <v>3</v>
      </c>
      <c r="W147" s="61">
        <f>HLOOKUP("Constant",$R$98:$V$107,V147,FALSE)+HLOOKUP("tx",$R$98:$V$107,V147,FALSE)*T147+HLOOKUP("ang",$R$98:$V$107,V147,FALSE)*R147+HLOOKUP("Scale",$R$98:$V$107,V147,FALSE)*R$151</f>
        <v>5.6</v>
      </c>
      <c r="Y147" s="159"/>
      <c r="Z147" s="28"/>
    </row>
    <row r="148" spans="2:26" ht="15.75">
      <c r="B148" s="24"/>
      <c r="C148" s="29"/>
      <c r="D148" s="29"/>
      <c r="M148" s="28"/>
      <c r="P148" s="24"/>
      <c r="Q148" s="141" t="s">
        <v>225</v>
      </c>
      <c r="R148" s="160">
        <f>VLOOKUP($F$34,$Q$75:$U$83,5,FALSE)*$G$35/100+IF($G$37=0,0,VLOOKUP($F$36,$Q$75:$U$83,5,FALSE)*$G$37/100)</f>
        <v>8.0000000000000002E-3</v>
      </c>
      <c r="S148" s="141" t="s">
        <v>228</v>
      </c>
      <c r="T148" s="163">
        <f>VLOOKUP($F$34,$Q$87:$U$95,5,FALSE)*$G$35/100+IF($G$37=0,0,VLOOKUP($F$36,$Q$87:$U$95,5,FALSE)*$G$37/100)</f>
        <v>2.1499999999999998E-2</v>
      </c>
      <c r="U148" s="166" t="s">
        <v>252</v>
      </c>
      <c r="V148" s="37">
        <f>IF(R$150="AO",4,IF(R$150="SC",7,10))</f>
        <v>4</v>
      </c>
      <c r="W148" s="61">
        <f>HLOOKUP("Constant",$R$98:$V$107,V148,FALSE)+HLOOKUP("tx",$R$98:$V$107,V148,FALSE)*T148+HLOOKUP("ang",$R$98:$V$107,V148,FALSE)*R148+HLOOKUP("Scale",$R$98:$V$107,V148,FALSE)*R$151</f>
        <v>8.0000000000000007E-5</v>
      </c>
      <c r="X148" s="158"/>
      <c r="Y148" s="159"/>
      <c r="Z148" s="28"/>
    </row>
    <row r="149" spans="2:26">
      <c r="B149" s="24"/>
      <c r="C149" s="60" t="s">
        <v>282</v>
      </c>
      <c r="D149" s="35"/>
      <c r="E149" s="35"/>
      <c r="F149" s="35"/>
      <c r="G149" s="46"/>
      <c r="I149" s="31"/>
      <c r="J149" s="32"/>
      <c r="K149" s="124" t="s">
        <v>10</v>
      </c>
      <c r="L149" s="83">
        <f>G13*RADIANS(G14)</f>
        <v>349.0658503988659</v>
      </c>
      <c r="M149" s="28"/>
      <c r="P149" s="24"/>
      <c r="W149" s="158"/>
      <c r="X149" s="158"/>
      <c r="Y149" s="159"/>
      <c r="Z149" s="28"/>
    </row>
    <row r="150" spans="2:26">
      <c r="B150" s="24"/>
      <c r="C150" s="50" t="s">
        <v>122</v>
      </c>
      <c r="D150" s="111" t="s">
        <v>41</v>
      </c>
      <c r="E150" s="79" t="s">
        <v>283</v>
      </c>
      <c r="F150" s="111" t="s">
        <v>136</v>
      </c>
      <c r="G150" s="111" t="s">
        <v>284</v>
      </c>
      <c r="I150" s="56"/>
      <c r="J150" s="29"/>
      <c r="K150" s="125" t="s">
        <v>6</v>
      </c>
      <c r="L150" s="83">
        <f>IF(ISBLANK(G15),8.59*SQRT(G16)*(1-EXP(-(30.48*(G13+100))/(180/PI()*100))),G15)</f>
        <v>68.91560421470524</v>
      </c>
      <c r="M150" s="28"/>
      <c r="P150" s="24"/>
      <c r="Q150" s="96" t="s">
        <v>150</v>
      </c>
      <c r="R150" s="160" t="str">
        <f>VLOOKUP(F$33,$R$61:$V$71,5,FALSE)</f>
        <v>AO</v>
      </c>
      <c r="W150" s="60" t="s">
        <v>288</v>
      </c>
      <c r="X150" s="46"/>
      <c r="Y150" s="159"/>
      <c r="Z150" s="28"/>
    </row>
    <row r="151" spans="2:26">
      <c r="B151" s="24"/>
      <c r="C151" s="37" t="s">
        <v>77</v>
      </c>
      <c r="D151" s="119">
        <f>EXP($I$69*($U$116-$I$62))</f>
        <v>0.98587264106420047</v>
      </c>
      <c r="E151" s="119">
        <f>EXP($I$69*(VLOOKUP($G$41,$Q$116:$U$136,5,FALSE)-$I$62))</f>
        <v>1.0352591286011936</v>
      </c>
      <c r="F151" s="119">
        <f>EXP($I$69*($W$146-$I$62))</f>
        <v>1.0368340629482011</v>
      </c>
      <c r="G151" s="119">
        <f>IF(L$10="After",D151,F151)</f>
        <v>0.98587264106420047</v>
      </c>
      <c r="I151" s="41"/>
      <c r="J151" s="40"/>
      <c r="K151" s="126" t="s">
        <v>184</v>
      </c>
      <c r="L151" s="83">
        <f>0.000073*(L150^2-T160^2)</f>
        <v>0.16375768753638462</v>
      </c>
      <c r="M151" s="28"/>
      <c r="P151" s="24"/>
      <c r="Q151" s="51" t="s">
        <v>254</v>
      </c>
      <c r="R151" s="167">
        <f>VLOOKUP(F$33,$R$61:$V$71,3,FALSE)</f>
        <v>9.77</v>
      </c>
      <c r="W151" s="47" t="str">
        <f>IF(R150="HF",Q83,"")</f>
        <v/>
      </c>
      <c r="X151" s="46"/>
      <c r="Y151" s="29"/>
      <c r="Z151" s="28"/>
    </row>
    <row r="152" spans="2:26">
      <c r="B152" s="24"/>
      <c r="C152" s="37" t="s">
        <v>76</v>
      </c>
      <c r="D152" s="119">
        <f>EXP($I$77*($U$116-$I$62))</f>
        <v>0.94169465724830059</v>
      </c>
      <c r="E152" s="119">
        <f>EXP($I$77*(VLOOKUP($G$41,$Q$116:$U$136,5,FALSE)-$I$62))</f>
        <v>1.1575520066155867</v>
      </c>
      <c r="F152" s="119">
        <f>EXP($I$77*($W$146-$I$62))</f>
        <v>1.1650054906373599</v>
      </c>
      <c r="G152" s="119">
        <f>IF(L$10="After",D152,F152)</f>
        <v>0.94169465724830059</v>
      </c>
      <c r="I152" s="56"/>
      <c r="J152" s="125" t="s">
        <v>0</v>
      </c>
      <c r="K152" s="127" t="s">
        <v>42</v>
      </c>
      <c r="L152" s="128">
        <f>L153+L100/(1-COS(RADIANS(G14/2)))</f>
        <v>549.74515621628962</v>
      </c>
      <c r="M152" s="28"/>
      <c r="P152" s="24"/>
      <c r="Q152" s="184" t="s">
        <v>255</v>
      </c>
      <c r="R152" s="160">
        <f>VLOOKUP(F$33,$R$61:$V$71,4,FALSE)</f>
        <v>2.2400000000000002</v>
      </c>
      <c r="W152" s="47" t="str">
        <f t="shared" ref="W152:W157" si="24">IF(R$150&lt;&gt;"HF",Q75,"")</f>
        <v>Limestone</v>
      </c>
      <c r="X152" s="46"/>
      <c r="Z152" s="28"/>
    </row>
    <row r="153" spans="2:26">
      <c r="B153" s="24"/>
      <c r="C153" s="37" t="s">
        <v>75</v>
      </c>
      <c r="D153" s="119">
        <f>EXP($I$85*($U$116-$I$62))</f>
        <v>0.98431530632553288</v>
      </c>
      <c r="E153" s="119">
        <f>EXP($I$85*(VLOOKUP($G$41,$Q$116:$U$136,5,FALSE)-$I$62))</f>
        <v>1.0392527620342753</v>
      </c>
      <c r="F153" s="119">
        <f>EXP($I$85*($W$146-$I$62))</f>
        <v>1.0410095880363766</v>
      </c>
      <c r="G153" s="119">
        <f>IF(L$10="After",D153,F153)</f>
        <v>0.98431530632553288</v>
      </c>
      <c r="I153" s="56"/>
      <c r="J153" s="29"/>
      <c r="K153" s="131" t="s">
        <v>43</v>
      </c>
      <c r="L153" s="37">
        <f>G13</f>
        <v>500</v>
      </c>
      <c r="M153" s="28"/>
      <c r="P153" s="24"/>
      <c r="Q153" s="102"/>
      <c r="W153" s="47" t="str">
        <f t="shared" si="24"/>
        <v>Dolomite</v>
      </c>
      <c r="X153" s="46"/>
      <c r="Z153" s="28"/>
    </row>
    <row r="154" spans="2:26">
      <c r="B154" s="24"/>
      <c r="C154" s="37" t="s">
        <v>123</v>
      </c>
      <c r="D154" s="119">
        <f>EXP($I$93*($U$116-$I$62))</f>
        <v>0.94169465724830059</v>
      </c>
      <c r="E154" s="119">
        <f>EXP($I$93*(VLOOKUP($G$41,$Q$116:$U$136,5,FALSE)-$I$62))</f>
        <v>1.1575520066155867</v>
      </c>
      <c r="F154" s="119">
        <f>EXP($I$93*($W$146-$I$62))</f>
        <v>1.1650054906373599</v>
      </c>
      <c r="G154" s="119">
        <f>IF(L$10="After",D154,F154)</f>
        <v>0.94169465724830059</v>
      </c>
      <c r="I154" s="41"/>
      <c r="J154" s="40"/>
      <c r="K154" s="134" t="s">
        <v>23</v>
      </c>
      <c r="L154" s="83">
        <f>L153/L99</f>
        <v>434.78260869565219</v>
      </c>
      <c r="M154" s="28"/>
      <c r="P154" s="24"/>
      <c r="Q154" s="96" t="s">
        <v>156</v>
      </c>
      <c r="R154" s="35"/>
      <c r="S154" s="137"/>
      <c r="T154" s="135"/>
      <c r="U154" s="158"/>
      <c r="V154" s="158"/>
      <c r="W154" s="47" t="str">
        <f t="shared" si="24"/>
        <v>Sandstone</v>
      </c>
      <c r="X154" s="46"/>
      <c r="Z154" s="28"/>
    </row>
    <row r="155" spans="2:26">
      <c r="B155" s="24"/>
      <c r="M155" s="28"/>
      <c r="P155" s="24"/>
      <c r="Q155" s="51"/>
      <c r="R155" s="35"/>
      <c r="S155" s="138" t="s">
        <v>206</v>
      </c>
      <c r="T155" s="98">
        <f>VLOOKUP(G12,W87:Y89,2,FALSE)</f>
        <v>0.5</v>
      </c>
      <c r="W155" s="47" t="str">
        <f t="shared" si="24"/>
        <v>Siliceous Gravel</v>
      </c>
      <c r="X155" s="46"/>
      <c r="Z155" s="28"/>
    </row>
    <row r="156" spans="2:26">
      <c r="B156" s="24"/>
      <c r="C156" s="60" t="s">
        <v>281</v>
      </c>
      <c r="D156" s="35"/>
      <c r="E156" s="35"/>
      <c r="F156" s="35"/>
      <c r="G156" s="35"/>
      <c r="H156" s="35"/>
      <c r="I156" s="35"/>
      <c r="J156" s="35"/>
      <c r="K156" s="35"/>
      <c r="L156" s="46"/>
      <c r="M156" s="28"/>
      <c r="P156" s="24"/>
      <c r="Q156" s="51"/>
      <c r="R156" s="35"/>
      <c r="S156" s="138" t="s">
        <v>207</v>
      </c>
      <c r="T156" s="98">
        <f>VLOOKUP(G12,W87:Y89,3,FALSE)</f>
        <v>0.5</v>
      </c>
      <c r="U156" s="158"/>
      <c r="W156" s="47" t="str">
        <f t="shared" si="24"/>
        <v>Limestone Gravel</v>
      </c>
      <c r="X156" s="46"/>
      <c r="Z156" s="28"/>
    </row>
    <row r="157" spans="2:26">
      <c r="B157" s="24"/>
      <c r="C157" s="50" t="s">
        <v>122</v>
      </c>
      <c r="D157" s="179" t="s">
        <v>279</v>
      </c>
      <c r="E157" s="179" t="s">
        <v>149</v>
      </c>
      <c r="F157" s="179" t="s">
        <v>278</v>
      </c>
      <c r="G157" s="179" t="s">
        <v>280</v>
      </c>
      <c r="H157" s="41"/>
      <c r="I157" s="111" t="s">
        <v>51</v>
      </c>
      <c r="J157" s="111" t="s">
        <v>53</v>
      </c>
      <c r="K157" s="111" t="s">
        <v>52</v>
      </c>
      <c r="L157" s="81" t="s">
        <v>277</v>
      </c>
      <c r="M157" s="28"/>
      <c r="P157" s="24"/>
      <c r="U157" s="158"/>
      <c r="W157" s="47" t="str">
        <f t="shared" si="24"/>
        <v>Igneous</v>
      </c>
      <c r="X157" s="46"/>
      <c r="Z157" s="28"/>
    </row>
    <row r="158" spans="2:26">
      <c r="B158" s="24"/>
      <c r="C158" s="79" t="s">
        <v>77</v>
      </c>
      <c r="D158" s="119">
        <f ca="1">1+G$66*(5280/3600/10*G$16)^4*(5280/3600*G$16)^2/32.2/G$13^2</f>
        <v>6.17882085573972</v>
      </c>
      <c r="E158" s="119">
        <f ca="1">EXP($G67*($G18-$G60))</f>
        <v>1.0660923987615052</v>
      </c>
      <c r="F158" s="119">
        <f ca="1">EXP($G68*($G19-$G61))</f>
        <v>1.2712491503214047</v>
      </c>
      <c r="G158" s="119">
        <f ca="1">EXP(G70*G$23)</f>
        <v>1.6323162199553789</v>
      </c>
      <c r="H158" s="34"/>
      <c r="I158" s="119">
        <f ca="1">$G41*$L$149/5280*$G64*$G$9^$G65*D158*E158*F158*G158*G151</f>
        <v>6.2837394752052864</v>
      </c>
      <c r="J158" s="119">
        <f ca="1">1/(1+K11/(G71*L$149))</f>
        <v>0.96697551104437596</v>
      </c>
      <c r="K158" s="119">
        <f ca="1">I158*J158+G43/G$42*G$41*(1-J158)</f>
        <v>6.4064670798625913</v>
      </c>
      <c r="L158" s="119">
        <f ca="1">IF(ISBLANK(G$43),I158,K158)/G$41</f>
        <v>0.91520958283751308</v>
      </c>
      <c r="M158" s="28"/>
      <c r="P158" s="24"/>
      <c r="Q158" s="31" t="s">
        <v>78</v>
      </c>
      <c r="R158" s="129"/>
      <c r="S158" s="37" t="s">
        <v>40</v>
      </c>
      <c r="T158" s="37" t="s">
        <v>41</v>
      </c>
      <c r="U158" s="130" t="s">
        <v>136</v>
      </c>
      <c r="W158" s="47" t="str">
        <f>IF(R$150&lt;&gt;"HF",Q82,"")</f>
        <v>Flint</v>
      </c>
      <c r="X158" s="46"/>
      <c r="Z158" s="28"/>
    </row>
    <row r="159" spans="2:26">
      <c r="B159" s="24"/>
      <c r="C159" s="79" t="s">
        <v>76</v>
      </c>
      <c r="D159" s="119">
        <f ca="1">1+G$74*(5280/3600/10*G$16)^4*(5280/3600*G$16)^2/32.2/G$13^2</f>
        <v>1</v>
      </c>
      <c r="E159" s="119">
        <f ca="1">EXP($G75*($G18-$G60))</f>
        <v>1</v>
      </c>
      <c r="F159" s="119">
        <f ca="1">EXP($G76*($G19-$G61))</f>
        <v>1.4162322497400235</v>
      </c>
      <c r="G159" s="119">
        <f ca="1">EXP(G78*G$23)</f>
        <v>2.9594398187394915</v>
      </c>
      <c r="H159" s="34"/>
      <c r="I159" s="119">
        <f ca="1">$G41*$L$149/5280*$G72*$G$9^$G73*D159*E159*F159*G159*G152</f>
        <v>0.28213770767845331</v>
      </c>
      <c r="J159" s="119">
        <f ca="1">1/(1+K12/(G79*L$149))</f>
        <v>0.9954894194143078</v>
      </c>
      <c r="K159" s="119">
        <f ca="1">I159*J159+G44/G$42*G$41*(1-J159)</f>
        <v>0.29439684456878379</v>
      </c>
      <c r="L159" s="119">
        <f ca="1">IF(ISBLANK(G$43),I159,K159)/G$41</f>
        <v>4.2056692081254829E-2</v>
      </c>
      <c r="M159" s="28"/>
      <c r="P159" s="24"/>
      <c r="Q159" s="56" t="s">
        <v>79</v>
      </c>
      <c r="R159" s="131" t="s">
        <v>2</v>
      </c>
      <c r="S159" s="132">
        <f>AVERAGE(F118,G118)</f>
        <v>57.392938271949276</v>
      </c>
      <c r="T159" s="128">
        <f>AVERAGE(I118,J118)</f>
        <v>57.765164441121982</v>
      </c>
      <c r="U159" s="83">
        <f>AVERAGE(K118,L118)</f>
        <v>57.765164441121982</v>
      </c>
      <c r="W159" s="47" t="str">
        <f>IF(R150="SC",Q81,"")</f>
        <v/>
      </c>
      <c r="X159" s="46"/>
      <c r="Z159" s="28"/>
    </row>
    <row r="160" spans="2:26">
      <c r="B160" s="24"/>
      <c r="C160" s="79" t="s">
        <v>75</v>
      </c>
      <c r="D160" s="119">
        <f ca="1">1+G$82*(5280/3600/10*G$16)^4*(5280/3600*G$16)^2/32.2/G$13^2</f>
        <v>7.8953963079231109</v>
      </c>
      <c r="E160" s="119">
        <f ca="1">EXP($G83*($G18-$G60))</f>
        <v>1.0919881220281975</v>
      </c>
      <c r="F160" s="119">
        <f ca="1">EXP($G84*($G19-$G61))</f>
        <v>1.3021281963008942</v>
      </c>
      <c r="G160" s="119">
        <f ca="1">EXP(G86*G$23)</f>
        <v>1.6323162199553789</v>
      </c>
      <c r="H160" s="34"/>
      <c r="I160" s="119">
        <f ca="1">$G41*$L$149/5280*$G80*$G$9^$G81*D160*E160*F160*G160*G153</f>
        <v>6.3101013318908308</v>
      </c>
      <c r="J160" s="119">
        <f ca="1">1/(1+K13/(G87*L$149))</f>
        <v>0.9612878667318373</v>
      </c>
      <c r="K160" s="119">
        <f ca="1">I160*J160+G45/G$42*G$41*(1-J160)</f>
        <v>6.4142330476085263</v>
      </c>
      <c r="L160" s="119">
        <f ca="1">IF(ISBLANK(G$43),I160,K160)/G$41</f>
        <v>0.91631900680121803</v>
      </c>
      <c r="M160" s="28"/>
      <c r="P160" s="24"/>
      <c r="Q160" s="56" t="s">
        <v>80</v>
      </c>
      <c r="R160" s="131" t="s">
        <v>11</v>
      </c>
      <c r="S160" s="136">
        <f>AVERAGE(F119,G119)</f>
        <v>48.810922412784507</v>
      </c>
      <c r="T160" s="83">
        <f>AVERAGE(I119,J119)</f>
        <v>50.061007886665593</v>
      </c>
      <c r="U160" s="83">
        <f>AVERAGE(K119,L119)</f>
        <v>50.061007886665593</v>
      </c>
      <c r="Z160" s="28"/>
    </row>
    <row r="161" spans="2:26">
      <c r="B161" s="24"/>
      <c r="C161" s="79" t="s">
        <v>123</v>
      </c>
      <c r="D161" s="119">
        <f ca="1">1+G$90*(5280/3600/10*G$16)^4*(5280/3600*G$16)^2/32.2/G$13^2</f>
        <v>1</v>
      </c>
      <c r="E161" s="119">
        <f ca="1">EXP($G91*($G18-$G60))</f>
        <v>1</v>
      </c>
      <c r="F161" s="119">
        <f ca="1">EXP($G92*($G19-$G61))</f>
        <v>1.4077602975141026</v>
      </c>
      <c r="G161" s="119">
        <f ca="1">EXP(G94*G$23)</f>
        <v>3.0648542032930024</v>
      </c>
      <c r="H161" s="34"/>
      <c r="I161" s="119">
        <f ca="1">$G41*$L$149/5280*$G88*$G$9^$G89*D161*E161*F161*G161*G154</f>
        <v>0.25821908405458682</v>
      </c>
      <c r="J161" s="119">
        <f ca="1">1/(1+K14/(G95*L$149))</f>
        <v>0.99489808350988262</v>
      </c>
      <c r="K161" s="119">
        <f ca="1">I161*J161+G46/G$42*G$41*(1-J161)</f>
        <v>0.26710550483182049</v>
      </c>
      <c r="L161" s="119">
        <f ca="1">IF(ISBLANK(G$43),I161,K161)/G$41</f>
        <v>3.8157929261688643E-2</v>
      </c>
      <c r="M161" s="28"/>
      <c r="P161" s="24"/>
      <c r="Q161" s="41" t="s">
        <v>81</v>
      </c>
      <c r="R161" s="131" t="s">
        <v>3</v>
      </c>
      <c r="S161" s="136">
        <f>AVERAGE(F120,G120)</f>
        <v>54.46992033584079</v>
      </c>
      <c r="T161" s="83">
        <f>AVERAGE(I120,J120)</f>
        <v>55.492995611613132</v>
      </c>
      <c r="U161" s="83">
        <f>AVERAGE(K120,L120)</f>
        <v>55.492995611613132</v>
      </c>
      <c r="Z161" s="28"/>
    </row>
    <row r="162" spans="2:26">
      <c r="B162" s="24"/>
      <c r="L162" s="89" t="s">
        <v>177</v>
      </c>
      <c r="M162" s="29"/>
      <c r="N162" s="24"/>
      <c r="P162" s="24"/>
      <c r="Q162" s="29"/>
      <c r="R162" s="29"/>
      <c r="S162" s="29"/>
      <c r="T162" s="29"/>
      <c r="U162" s="29"/>
      <c r="V162" s="29"/>
      <c r="W162" s="29"/>
      <c r="X162" s="29"/>
      <c r="Y162" s="89" t="s">
        <v>178</v>
      </c>
      <c r="Z162" s="28"/>
    </row>
    <row r="163" spans="2:26" ht="3.75" customHeight="1" thickBot="1">
      <c r="B163" s="90"/>
      <c r="C163" s="91"/>
      <c r="D163" s="91"/>
      <c r="E163" s="91"/>
      <c r="F163" s="91"/>
      <c r="G163" s="91"/>
      <c r="H163" s="91"/>
      <c r="I163" s="91"/>
      <c r="J163" s="91"/>
      <c r="K163" s="91"/>
      <c r="L163" s="91"/>
      <c r="M163" s="91"/>
      <c r="N163" s="24"/>
      <c r="P163" s="90"/>
      <c r="Q163" s="91"/>
      <c r="R163" s="91"/>
      <c r="S163" s="91"/>
      <c r="T163" s="91"/>
      <c r="U163" s="91"/>
      <c r="V163" s="91"/>
      <c r="W163" s="91"/>
      <c r="X163" s="91"/>
      <c r="Y163" s="91"/>
      <c r="Z163" s="92"/>
    </row>
    <row r="165" spans="2:26">
      <c r="Q165" s="64"/>
    </row>
  </sheetData>
  <sheetProtection password="C797" sheet="1" objects="1" scenarios="1"/>
  <mergeCells count="56">
    <mergeCell ref="K50:L50"/>
    <mergeCell ref="K46:L46"/>
    <mergeCell ref="K42:L42"/>
    <mergeCell ref="K45:L45"/>
    <mergeCell ref="K36:L36"/>
    <mergeCell ref="K49:L49"/>
    <mergeCell ref="D5:E5"/>
    <mergeCell ref="H6:I6"/>
    <mergeCell ref="H5:I5"/>
    <mergeCell ref="K37:L37"/>
    <mergeCell ref="K5:L5"/>
    <mergeCell ref="F34:G34"/>
    <mergeCell ref="K26:L26"/>
    <mergeCell ref="K22:L22"/>
    <mergeCell ref="K21:L21"/>
    <mergeCell ref="K32:L32"/>
    <mergeCell ref="F39:G39"/>
    <mergeCell ref="F36:G36"/>
    <mergeCell ref="F33:G33"/>
    <mergeCell ref="K31:L31"/>
    <mergeCell ref="K27:L27"/>
    <mergeCell ref="Q4:R4"/>
    <mergeCell ref="Q2:Y2"/>
    <mergeCell ref="K4:L4"/>
    <mergeCell ref="C2:L2"/>
    <mergeCell ref="H4:I4"/>
    <mergeCell ref="D4:E4"/>
    <mergeCell ref="V4:W4"/>
    <mergeCell ref="X4:Y4"/>
    <mergeCell ref="V5:W5"/>
    <mergeCell ref="X10:Y10"/>
    <mergeCell ref="X9:Y9"/>
    <mergeCell ref="X5:Y5"/>
    <mergeCell ref="X8:Y8"/>
    <mergeCell ref="X7:Y7"/>
    <mergeCell ref="X6:Y6"/>
    <mergeCell ref="V10:W10"/>
    <mergeCell ref="V9:W9"/>
    <mergeCell ref="V8:W8"/>
    <mergeCell ref="V7:W7"/>
    <mergeCell ref="V6:W6"/>
    <mergeCell ref="T142:U142"/>
    <mergeCell ref="T141:U141"/>
    <mergeCell ref="T140:U140"/>
    <mergeCell ref="T139:U139"/>
    <mergeCell ref="D60:D63"/>
    <mergeCell ref="E103:F103"/>
    <mergeCell ref="E102:F102"/>
    <mergeCell ref="E101:F101"/>
    <mergeCell ref="E100:F100"/>
    <mergeCell ref="E99:F99"/>
    <mergeCell ref="E98:F98"/>
    <mergeCell ref="D88:D95"/>
    <mergeCell ref="D80:D87"/>
    <mergeCell ref="D72:D79"/>
    <mergeCell ref="D64:D71"/>
  </mergeCells>
  <phoneticPr fontId="1" type="noConversion"/>
  <dataValidations count="24">
    <dataValidation type="list" allowBlank="1" showInputMessage="1" showErrorMessage="1" error="Choose a curve direction." sqref="L6">
      <formula1>"Left, Right"</formula1>
    </dataValidation>
    <dataValidation type="whole" operator="greaterThanOrEqual" allowBlank="1" showInputMessage="1" showErrorMessage="1" error="Enter a value greater than 0 veh/d." sqref="G9">
      <formula1>0</formula1>
    </dataValidation>
    <dataValidation type="decimal" operator="greaterThanOrEqual" allowBlank="1" showInputMessage="1" showErrorMessage="1" error="Enter a value greater than or equal to 100 ft." sqref="G13">
      <formula1>100</formula1>
    </dataValidation>
    <dataValidation type="decimal" allowBlank="1" showInputMessage="1" showErrorMessage="1" error="Enter a value between 10 and 360 degrees." sqref="G14">
      <formula1>10</formula1>
      <formula2>360</formula2>
    </dataValidation>
    <dataValidation type="list" allowBlank="1" showInputMessage="1" showErrorMessage="1" error="Specify a regulatory speed limit of 45, 50, 55, 60, 65, 70, or 75 mph." sqref="G16">
      <formula1>"45,50,55,60,65,70,75"</formula1>
    </dataValidation>
    <dataValidation type="list" allowBlank="1" showInputMessage="1" showErrorMessage="1" sqref="AG19">
      <formula1>"5,10,15,20,25,30,35,40,45,50,55,60,65,70,75"</formula1>
    </dataValidation>
    <dataValidation type="decimal" allowBlank="1" showInputMessage="1" showErrorMessage="1" error="Enter a value between 9 and 14 ft." sqref="G18 AG20">
      <formula1>9</formula1>
      <formula2>14</formula2>
    </dataValidation>
    <dataValidation type="decimal" allowBlank="1" showInputMessage="1" showErrorMessage="1" error="Enter a value between 0 and 12 ft." sqref="G19 AG21">
      <formula1>0</formula1>
      <formula2>12</formula2>
    </dataValidation>
    <dataValidation type="decimal" allowBlank="1" showInputMessage="1" showErrorMessage="1" error="Enter a value between -10 and +10 %." sqref="G20:G22">
      <formula1>-10</formula1>
      <formula2>10</formula2>
    </dataValidation>
    <dataValidation type="whole" operator="greaterThanOrEqual" allowBlank="1" showInputMessage="1" showErrorMessage="1" error="Enter a value greater than or equal to 0 crashes." sqref="G43:G46">
      <formula1>0</formula1>
    </dataValidation>
    <dataValidation type="decimal" allowBlank="1" showInputMessage="1" showErrorMessage="1" error="Enter a value between -4 and 14 %." sqref="F25:G30">
      <formula1>-4</formula1>
      <formula2>14</formula2>
    </dataValidation>
    <dataValidation type="whole" operator="greaterThan" allowBlank="1" showInputMessage="1" showErrorMessage="1" error="Enter a value greater than 0 mph." sqref="G15">
      <formula1>0</formula1>
    </dataValidation>
    <dataValidation type="list" allowBlank="1" showInputMessage="1" showErrorMessage="1" error="Choose a travel path type." sqref="Q4:R4">
      <formula1>"Ideal, Correcting"</formula1>
    </dataValidation>
    <dataValidation type="decimal" allowBlank="1" showInputMessage="1" showErrorMessage="1" error="Enter a value between 0 and 60 inches." sqref="G23">
      <formula1>0</formula1>
      <formula2>60</formula2>
    </dataValidation>
    <dataValidation type="decimal" allowBlank="1" showInputMessage="1" showErrorMessage="1" error="Enter a value between 0 and 100." sqref="E32:G32 F51:G51 G10:G11">
      <formula1>0</formula1>
      <formula2>100</formula2>
    </dataValidation>
    <dataValidation allowBlank="1" showInputMessage="1" showErrorMessage="1" error="Enter a value between 9 and 14 ft." sqref="AQ64:AR105 Y93:Y95 R146:R148 T146:T148 S143 W146:W148 T138 T116:T136 S137:S138 R150:R152"/>
    <dataValidation type="list" allowBlank="1" showInputMessage="1" showErrorMessage="1" error="Enter 2U (two-lane undivided), _x000a_4U (four-lane undivided), _x000a_or 4D (four-lane divided)." sqref="G12">
      <formula1>"2U,4U,4D"</formula1>
    </dataValidation>
    <dataValidation type="list" allowBlank="1" showInputMessage="1" showErrorMessage="1" error="Advisory speed must be a multiple of 5 mph and must be less than or equal to 75 mph." sqref="G17">
      <formula1>"5,10,15,20,25,30,35,40,45,50,55,60,65,70,75"</formula1>
    </dataValidation>
    <dataValidation type="decimal" operator="greaterThanOrEqual" allowBlank="1" showInputMessage="1" showErrorMessage="1" error="Enter a value greater than 0 ft." sqref="G35 G37">
      <formula1>0</formula1>
    </dataValidation>
    <dataValidation type="list" allowBlank="1" showInputMessage="1" showErrorMessage="1" sqref="L10">
      <formula1>"After,End,Terminal"</formula1>
    </dataValidation>
    <dataValidation type="whole" allowBlank="1" showInputMessage="1" showErrorMessage="1" error="Enter a value of 1-20 years." sqref="G41">
      <formula1>1</formula1>
      <formula2>20</formula2>
    </dataValidation>
    <dataValidation type="whole" allowBlank="1" showInputMessage="1" showErrorMessage="1" error="Enter a value of 0-20 years." sqref="G42">
      <formula1>0</formula1>
      <formula2>20</formula2>
    </dataValidation>
    <dataValidation type="list" allowBlank="1" showInputMessage="1" showErrorMessage="1" sqref="F34:G34 F36:G36">
      <formula1>$W$151:$W$159</formula1>
    </dataValidation>
    <dataValidation type="list" operator="greaterThan" allowBlank="1" showInputMessage="1" showErrorMessage="1" error="Enter a value greater than 0 ft." sqref="F33:G33">
      <formula1>$R$61:$R$71</formula1>
    </dataValidation>
  </dataValidations>
  <pageMargins left="0.75" right="0.75" top="1" bottom="1" header="0.5" footer="0.5"/>
  <pageSetup scale="95" pageOrder="overThenDown" orientation="portrait" horizontalDpi="300" verticalDpi="300" r:id="rId1"/>
  <headerFooter alignWithMargins="0"/>
  <rowBreaks count="2" manualBreakCount="2">
    <brk id="54" max="16383" man="1"/>
    <brk id="109" max="16383" man="1"/>
  </rowBreaks>
  <colBreaks count="1" manualBreakCount="1">
    <brk id="14" max="1048575" man="1"/>
  </colBreaks>
  <ignoredErrors>
    <ignoredError sqref="K4"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Welcome</vt:lpstr>
      <vt:lpstr>Analysis</vt:lpstr>
    </vt:vector>
  </TitlesOfParts>
  <Company>Texas Transportation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M-Pratt</dc:creator>
  <cp:lastModifiedBy>Pratt, Mike</cp:lastModifiedBy>
  <cp:lastPrinted>2013-10-18T22:29:11Z</cp:lastPrinted>
  <dcterms:created xsi:type="dcterms:W3CDTF">2013-08-20T20:01:33Z</dcterms:created>
  <dcterms:modified xsi:type="dcterms:W3CDTF">2018-11-09T20:36:51Z</dcterms:modified>
</cp:coreProperties>
</file>